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55" activeTab="0"/>
  </bookViews>
  <sheets>
    <sheet name="一般公共预算调整方案表" sheetId="1" r:id="rId1"/>
    <sheet name="政府性基金预算调整方案表" sheetId="2" r:id="rId2"/>
    <sheet name="国有资本经营预算调整方案表" sheetId="3" r:id="rId3"/>
    <sheet name="社会保险基金预算调整方案表" sheetId="4" r:id="rId4"/>
  </sheets>
  <definedNames>
    <definedName name="_xlnm.Print_Area" localSheetId="0">'一般公共预算调整方案表'!$A$1:$F$45</definedName>
    <definedName name="_xlnm.Print_Titles" localSheetId="2">'国有资本经营预算调整方案表'!$1:$4</definedName>
    <definedName name="_xlnm.Print_Titles" localSheetId="0">'一般公共预算调整方案表'!$2:$6</definedName>
    <definedName name="_xlnm.Print_Titles" localSheetId="1">'政府性基金预算调整方案表'!$1:$6</definedName>
  </definedNames>
  <calcPr fullCalcOnLoad="1"/>
</workbook>
</file>

<file path=xl/sharedStrings.xml><?xml version="1.0" encoding="utf-8"?>
<sst xmlns="http://schemas.openxmlformats.org/spreadsheetml/2006/main" count="240" uniqueCount="177">
  <si>
    <t xml:space="preserve">  附件1：</t>
  </si>
  <si>
    <t>鹿寨县2023年一般公共预算调整方案表</t>
  </si>
  <si>
    <t>单位：万元</t>
  </si>
  <si>
    <t>预   算  科   目</t>
  </si>
  <si>
    <t>年初预算数</t>
  </si>
  <si>
    <t>调整预算数</t>
  </si>
  <si>
    <t>拟调整情况</t>
  </si>
  <si>
    <t>主要增减原因</t>
  </si>
  <si>
    <t>增加的支出情况</t>
  </si>
  <si>
    <t>调整数</t>
  </si>
  <si>
    <t>调整%</t>
  </si>
  <si>
    <t>当年财政预算总收入</t>
  </si>
  <si>
    <t>一、一般公共预算收入</t>
  </si>
  <si>
    <t>（一）税收收入</t>
  </si>
  <si>
    <t>受组合式税费支持政策持续影响以及专项清算税款未能入库、部分预计税收未能申报等因素影响，税收收入减少。</t>
  </si>
  <si>
    <t>（二）非税收入</t>
  </si>
  <si>
    <t>国有资源有偿使用收入减少。</t>
  </si>
  <si>
    <t>二、上级补助收入</t>
  </si>
  <si>
    <t>当年下达的上级补助收入增加</t>
  </si>
  <si>
    <t>指标</t>
  </si>
  <si>
    <t>已支出</t>
  </si>
  <si>
    <t>三、上年结转结余收入</t>
  </si>
  <si>
    <t>项目支出</t>
  </si>
  <si>
    <t>四、债务转贷收入</t>
  </si>
  <si>
    <t>新增一般债券7,240万元，再融资一般债券14,500万元。</t>
  </si>
  <si>
    <t>退休人员生活补助为旧标准，</t>
  </si>
  <si>
    <t>其中：追加</t>
  </si>
  <si>
    <t>五、调入预算稳定调节基金</t>
  </si>
  <si>
    <t>六、调入其他资金</t>
  </si>
  <si>
    <t>土地出让金收入减少，政府性基金调入资金相应减少。</t>
  </si>
  <si>
    <t>年初预算安排</t>
  </si>
  <si>
    <t>调整后预计全年支出</t>
  </si>
  <si>
    <t>拟调增（减）</t>
  </si>
  <si>
    <t>当年财政预算总支出</t>
  </si>
  <si>
    <t>截止9月30日，当年县本级追加项目资金22741万元（已支出19784万元）；正常增人增资、发放2022年及2023年绩效、补支出2022年年底未支出的三保资金造成本年预算的缺口等追加资金约6234万元；年初调入其他资金安排各部门项目支出12737万元（已支出约9000万元），因土地出让金无结余调入，此部分资金也属于超支范围。上述三项合计需调增本级支出41712万元。</t>
  </si>
  <si>
    <t>基本支出</t>
  </si>
  <si>
    <t>2023年提前下达转移支付支出</t>
  </si>
  <si>
    <t>上年专项支出</t>
  </si>
  <si>
    <t>合计</t>
  </si>
  <si>
    <t>三保及其他重点支出</t>
  </si>
  <si>
    <t>保工资</t>
  </si>
  <si>
    <t>保运转</t>
  </si>
  <si>
    <t>保基本民生（本级）</t>
  </si>
  <si>
    <t>聘用人员、离退休及改革性津贴支出</t>
  </si>
  <si>
    <t>保基本民生（上级）</t>
  </si>
  <si>
    <t>项目支出（全口径）</t>
  </si>
  <si>
    <t>项目支出（已支出）</t>
  </si>
  <si>
    <t>2023年转移支付</t>
  </si>
  <si>
    <t>基金调入</t>
  </si>
  <si>
    <t>一般债券</t>
  </si>
  <si>
    <t>调减绩效</t>
  </si>
  <si>
    <t>调减年初预算项目支出</t>
  </si>
  <si>
    <t>项目除绩效</t>
  </si>
  <si>
    <t>收回结转结余调减支出</t>
  </si>
  <si>
    <t>其中2021年绩效奖励</t>
  </si>
  <si>
    <t>2022年预发绩效调增支出</t>
  </si>
  <si>
    <t>一、一般公共预算支出合计</t>
  </si>
  <si>
    <t xml:space="preserve">      一般公共服务</t>
  </si>
  <si>
    <t>当年下达上级补助资金，预备费和其他支出项目调整到此科目，增人增资、社保缴费等追加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</si>
  <si>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</si>
  <si>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</si>
  <si>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</si>
  <si>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</si>
  <si>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</si>
  <si>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</si>
  <si>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</si>
  <si>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</si>
  <si>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城乡社区事务</t>
  </si>
  <si>
    <t xml:space="preserve">      农林水事务</t>
  </si>
  <si>
    <t xml:space="preserve">      交通运输</t>
  </si>
  <si>
    <t xml:space="preserve">      资源勘探电力信息等事务</t>
  </si>
  <si>
    <t xml:space="preserve">      商业服务业等事务</t>
  </si>
  <si>
    <t xml:space="preserve">      金融支出</t>
  </si>
  <si>
    <t xml:space="preserve">      自然资源海洋气象等事务</t>
  </si>
  <si>
    <t xml:space="preserve">      住房保障支出</t>
  </si>
  <si>
    <t xml:space="preserve">      粮油物资储备管理事务</t>
  </si>
  <si>
    <t xml:space="preserve">      灾害防治及应急管理</t>
  </si>
  <si>
    <t xml:space="preserve">      预备费</t>
  </si>
  <si>
    <t>已全部调整用于相关项目开支，所用科目相应调整。</t>
  </si>
  <si>
    <t xml:space="preserve">      其他支出</t>
  </si>
  <si>
    <t>部分资金调整用于相关项目开支，所用科目相应调整。</t>
  </si>
  <si>
    <t xml:space="preserve">      国债还本付息支出</t>
  </si>
  <si>
    <t>二、上解自治区支出</t>
  </si>
  <si>
    <t>增加结算2013-2019年企业职工基本养老保险责任分担资金、义务兵家庭优抚支出预算上解基数。</t>
  </si>
  <si>
    <t>年初预算因无财力只安排3914万元，调整预算时按照实际安排，需调增4100万元</t>
  </si>
  <si>
    <t>四、调出资金</t>
  </si>
  <si>
    <t>五、债务支出</t>
  </si>
  <si>
    <t>再融资债券还本支出。</t>
  </si>
  <si>
    <t>再融资债券还本支出，年初预算时未安排，需调增14600万元</t>
  </si>
  <si>
    <t>年终结余</t>
  </si>
  <si>
    <r>
      <t xml:space="preserve">  附件</t>
    </r>
    <r>
      <rPr>
        <sz val="12"/>
        <rFont val="宋体"/>
        <family val="0"/>
      </rPr>
      <t>2</t>
    </r>
    <r>
      <rPr>
        <sz val="12"/>
        <rFont val="宋体"/>
        <family val="0"/>
      </rPr>
      <t>：</t>
    </r>
  </si>
  <si>
    <t>鹿寨县2023年政府性基金预算调整方案表</t>
  </si>
  <si>
    <t>总收入</t>
  </si>
  <si>
    <t>一、政府性基金收入</t>
  </si>
  <si>
    <t>（一）国有土地收益基金收入</t>
  </si>
  <si>
    <t>土地出让金减少，提取的资金相应减少。</t>
  </si>
  <si>
    <t>（二）农业土地开发资金收入</t>
  </si>
  <si>
    <t>（三）国有土地使用权出让金收入</t>
  </si>
  <si>
    <t>经济下行，房地产市场低迷，土地成交量减少，国有土地使用权出让收入减少。</t>
  </si>
  <si>
    <t>（四）城市基础设施配套费收入</t>
  </si>
  <si>
    <t>建设项目减少。</t>
  </si>
  <si>
    <t>（五）污水处理费收入</t>
  </si>
  <si>
    <t>（六）其他政府性基金收入</t>
  </si>
  <si>
    <t>二、政府性基金转移收入</t>
  </si>
  <si>
    <t>三、上年结余收入</t>
  </si>
  <si>
    <t>总支出</t>
  </si>
  <si>
    <t>一、政府性基金支出</t>
  </si>
  <si>
    <t>（一）文化旅游体育与传媒等支出</t>
  </si>
  <si>
    <t xml:space="preserve">    国家电影事业发展专项资金支出</t>
  </si>
  <si>
    <t>当年上级下达转移支付补助增加。</t>
  </si>
  <si>
    <t xml:space="preserve">    旅游发展基金支出</t>
  </si>
  <si>
    <t>（二）社会保障和就业支出</t>
  </si>
  <si>
    <t xml:space="preserve">   大中型水库移民后期扶持基金支出</t>
  </si>
  <si>
    <t xml:space="preserve">   小型水库移民扶助基金支出</t>
  </si>
  <si>
    <t>（三）城乡社区支出</t>
  </si>
  <si>
    <t xml:space="preserve">   国有土地使用权出让收入安排的支出</t>
  </si>
  <si>
    <t>土地出让金收入减少，支出相应调减。</t>
  </si>
  <si>
    <t xml:space="preserve">   国有土地收益基金支出</t>
  </si>
  <si>
    <t xml:space="preserve">   农业土地开发资金支出</t>
  </si>
  <si>
    <t xml:space="preserve">   城市基础设施配套费支出</t>
  </si>
  <si>
    <t xml:space="preserve">   污水处理费支出</t>
  </si>
  <si>
    <t>（四）农林水等支出</t>
  </si>
  <si>
    <t xml:space="preserve">    大中型水库库区基金安排的支出</t>
  </si>
  <si>
    <t xml:space="preserve">    地方重大水利工程建设</t>
  </si>
  <si>
    <t>（五）其他支出</t>
  </si>
  <si>
    <t xml:space="preserve">    其他政府性基金支出</t>
  </si>
  <si>
    <t>新增专项债券资金。</t>
  </si>
  <si>
    <t xml:space="preserve">    彩票公益金支出</t>
  </si>
  <si>
    <t>（六）债务付息支出</t>
  </si>
  <si>
    <t xml:space="preserve">    国有土地使用权出让金债务付息支出</t>
  </si>
  <si>
    <t>专项债券付息支出。</t>
  </si>
  <si>
    <t>（七）债务发行费用支出</t>
  </si>
  <si>
    <t xml:space="preserve">    地方政府专项债务发行费用支出</t>
  </si>
  <si>
    <t>二、地方政府专项债务还本支出</t>
  </si>
  <si>
    <t>使用再融资专项债券20,700万元，使用县级财力安排5,048万元。</t>
  </si>
  <si>
    <t>三、调出资金</t>
  </si>
  <si>
    <t>政府性基金收入减少、可调出资金减少。</t>
  </si>
  <si>
    <t xml:space="preserve">   年终结余</t>
  </si>
  <si>
    <t>附件3：</t>
  </si>
  <si>
    <t>鹿寨县2023年国有资本经营预算调整方案表</t>
  </si>
  <si>
    <t>收入项目名称</t>
  </si>
  <si>
    <t>2022年收入完成数</t>
  </si>
  <si>
    <t>2022年度净利润</t>
  </si>
  <si>
    <t>预算收入金额</t>
  </si>
  <si>
    <t>调整预算收入金额</t>
  </si>
  <si>
    <t>调整金额</t>
  </si>
  <si>
    <t>支出项目名称</t>
  </si>
  <si>
    <t>2022年支出完成数</t>
  </si>
  <si>
    <t>预算支出金额</t>
  </si>
  <si>
    <t>调整预算支出金额</t>
  </si>
  <si>
    <t>一、国有资本经营预算收入</t>
  </si>
  <si>
    <t>一、国有资本经营预算支出</t>
  </si>
  <si>
    <t>（一）鹿寨县自来水厂</t>
  </si>
  <si>
    <t>（二）鹿寨县汇一联城市开发投资有限责任公司</t>
  </si>
  <si>
    <t>（三）鹿寨县祥鹿投资有限责任公司</t>
  </si>
  <si>
    <t>（四）广西福臻建设工程有限责任公司</t>
  </si>
  <si>
    <t>（五）鹿寨县储备粮管理公司</t>
  </si>
  <si>
    <t>（六）鹿寨县军粮供应站</t>
  </si>
  <si>
    <t>二、上年结余</t>
  </si>
  <si>
    <t>三、上级补助收入</t>
  </si>
  <si>
    <t>四、调出一般公共预算支出</t>
  </si>
  <si>
    <t>鹿寨县2023年社会保险基金预算调整方案表</t>
  </si>
  <si>
    <t>科目名称</t>
  </si>
  <si>
    <t>调整后预算数</t>
  </si>
  <si>
    <t>一、机关事业单位基本养老保险基金收入</t>
  </si>
  <si>
    <t>一、机关事业单位基本养老保险基金支出</t>
  </si>
  <si>
    <t>二、城乡居民社会养老保险基金收入</t>
  </si>
  <si>
    <t>二、城乡居民社会养老保险基金支出</t>
  </si>
  <si>
    <t>本年基金收入合计</t>
  </si>
  <si>
    <t>本年基金支出合计</t>
  </si>
  <si>
    <t>转移性收入</t>
  </si>
  <si>
    <t>转移性支出</t>
  </si>
  <si>
    <t xml:space="preserve">   上级补助收入</t>
  </si>
  <si>
    <t xml:space="preserve">   上解上级支出</t>
  </si>
  <si>
    <t xml:space="preserve">   上年结余收入</t>
  </si>
  <si>
    <t>社会保险基金收入总计</t>
  </si>
  <si>
    <t>社会保险基金支出总计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</si>
</sst>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_ "/>
    <numFmt numFmtId="178" formatCode="0.00_ "/>
    <numFmt numFmtId="179" formatCode="_ * #,##0_ ;_ * \-#,##0_ ;_ * &quot;-&quot;??_ ;_ @_ "/>
    <numFmt numFmtId="180" formatCode="_-* #,##0_-;\-* #,##0_-;_-* &quot;-&quot;??_-;_-@_-"/>
    <numFmt numFmtId="181" formatCode="_-* #,##0.00_-;\-* #,##0.00_-;_-* &quot;-&quot;??_-;_-@_-"/>
    <numFmt numFmtId="182" formatCode="#,##0_ "/>
  </numFmts>
  <fonts count="61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1"/>
      <name val="仿宋_GB2312"/>
      <family val="3"/>
    </font>
    <font>
      <b/>
      <sz val="12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仿宋_GB2312"/>
      <family val="3"/>
    </font>
    <font>
      <b/>
      <sz val="9"/>
      <name val="黑体"/>
      <family val="3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8"/>
      <color indexed="8"/>
      <name val="宋体"/>
      <family val="0"/>
    </font>
    <font>
      <b/>
      <sz val="9"/>
      <color indexed="8"/>
      <name val="仿宋_GB2312"/>
      <family val="3"/>
    </font>
    <font>
      <sz val="10"/>
      <color indexed="10"/>
      <name val="仿宋_GB2312"/>
      <family val="3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rgb="FFFF0000"/>
      <name val="仿宋_GB2312"/>
      <family val="3"/>
    </font>
    <font>
      <sz val="10"/>
      <color rgb="FFFF0000"/>
      <name val="仿宋_GB2312"/>
      <family val="3"/>
    </font>
    <font>
      <b/>
      <sz val="10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2" fillId="3" borderId="0" applyNumberFormat="0" applyBorder="0" applyAlignment="0" applyProtection="0"/>
    <xf numFmtId="0" fontId="35" fillId="12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2" borderId="0" applyNumberFormat="0" applyBorder="0" applyAlignment="0" applyProtection="0"/>
    <xf numFmtId="0" fontId="51" fillId="13" borderId="0" applyNumberFormat="0" applyBorder="0" applyAlignment="0" applyProtection="0"/>
    <xf numFmtId="0" fontId="32" fillId="14" borderId="0" applyNumberFormat="0" applyBorder="0" applyAlignment="0" applyProtection="0"/>
    <xf numFmtId="0" fontId="40" fillId="0" borderId="0">
      <alignment/>
      <protection/>
    </xf>
    <xf numFmtId="0" fontId="35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5" fillId="18" borderId="0" applyNumberFormat="0" applyBorder="0" applyAlignment="0" applyProtection="0"/>
    <xf numFmtId="176" fontId="52" fillId="0" borderId="0" applyFont="0" applyFill="0" applyBorder="0" applyAlignment="0" applyProtection="0"/>
    <xf numFmtId="0" fontId="35" fillId="9" borderId="0" applyNumberFormat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2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5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</cellStyleXfs>
  <cellXfs count="18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91" applyFont="1" applyFill="1" applyBorder="1" applyAlignment="1">
      <alignment horizontal="center" vertical="center" wrapText="1"/>
      <protection/>
    </xf>
    <xf numFmtId="0" fontId="3" fillId="0" borderId="10" xfId="91" applyFont="1" applyFill="1" applyBorder="1" applyAlignment="1">
      <alignment vertical="center" wrapText="1"/>
      <protection/>
    </xf>
    <xf numFmtId="0" fontId="3" fillId="0" borderId="10" xfId="91" applyFont="1" applyFill="1" applyBorder="1" applyAlignment="1">
      <alignment vertical="center"/>
      <protection/>
    </xf>
    <xf numFmtId="0" fontId="4" fillId="0" borderId="0" xfId="92" applyFont="1" applyFill="1" applyBorder="1" applyAlignment="1">
      <alignment/>
      <protection/>
    </xf>
    <xf numFmtId="0" fontId="4" fillId="0" borderId="0" xfId="81" applyFont="1" applyFill="1" applyBorder="1" applyAlignment="1">
      <alignment vertical="center"/>
      <protection/>
    </xf>
    <xf numFmtId="0" fontId="4" fillId="0" borderId="0" xfId="81" applyFont="1" applyFill="1" applyBorder="1" applyAlignment="1">
      <alignment horizontal="right" vertical="center"/>
      <protection/>
    </xf>
    <xf numFmtId="3" fontId="3" fillId="0" borderId="11" xfId="81" applyNumberFormat="1" applyFont="1" applyFill="1" applyBorder="1" applyAlignment="1">
      <alignment horizontal="center" vertical="center" wrapText="1"/>
      <protection/>
    </xf>
    <xf numFmtId="0" fontId="3" fillId="0" borderId="12" xfId="107" applyFont="1" applyFill="1" applyBorder="1" applyAlignment="1">
      <alignment horizontal="center" vertical="center" wrapText="1"/>
      <protection/>
    </xf>
    <xf numFmtId="0" fontId="4" fillId="0" borderId="11" xfId="91" applyFont="1" applyFill="1" applyBorder="1" applyAlignment="1">
      <alignment horizontal="left" vertical="center" wrapText="1"/>
      <protection/>
    </xf>
    <xf numFmtId="177" fontId="5" fillId="0" borderId="11" xfId="64" applyNumberFormat="1" applyFont="1" applyFill="1" applyBorder="1" applyAlignment="1">
      <alignment horizontal="right" vertical="center" wrapText="1"/>
      <protection/>
    </xf>
    <xf numFmtId="41" fontId="5" fillId="0" borderId="11" xfId="64" applyNumberFormat="1" applyFont="1" applyFill="1" applyBorder="1" applyAlignment="1">
      <alignment horizontal="right" vertical="center" wrapText="1"/>
      <protection/>
    </xf>
    <xf numFmtId="177" fontId="4" fillId="0" borderId="11" xfId="91" applyNumberFormat="1" applyFont="1" applyFill="1" applyBorder="1" applyAlignment="1">
      <alignment horizontal="left" vertical="center" wrapText="1"/>
      <protection/>
    </xf>
    <xf numFmtId="0" fontId="6" fillId="0" borderId="13" xfId="94" applyFont="1" applyFill="1" applyBorder="1" applyAlignment="1">
      <alignment horizontal="justify" vertical="center" wrapText="1"/>
      <protection/>
    </xf>
    <xf numFmtId="177" fontId="6" fillId="0" borderId="13" xfId="94" applyNumberFormat="1" applyFont="1" applyFill="1" applyBorder="1" applyAlignment="1">
      <alignment horizontal="justify" vertical="center" wrapText="1"/>
      <protection/>
    </xf>
    <xf numFmtId="177" fontId="4" fillId="0" borderId="11" xfId="81" applyNumberFormat="1" applyFont="1" applyFill="1" applyBorder="1" applyAlignment="1">
      <alignment vertical="center"/>
      <protection/>
    </xf>
    <xf numFmtId="0" fontId="6" fillId="0" borderId="13" xfId="94" applyFont="1" applyFill="1" applyBorder="1" applyAlignment="1">
      <alignment horizontal="left" vertical="center" wrapText="1"/>
      <protection/>
    </xf>
    <xf numFmtId="0" fontId="7" fillId="0" borderId="13" xfId="81" applyFont="1" applyFill="1" applyBorder="1" applyAlignment="1">
      <alignment vertical="center" wrapText="1"/>
      <protection/>
    </xf>
    <xf numFmtId="177" fontId="8" fillId="0" borderId="11" xfId="64" applyNumberFormat="1" applyFont="1" applyFill="1" applyBorder="1" applyAlignment="1">
      <alignment horizontal="right" vertical="center" wrapText="1"/>
      <protection/>
    </xf>
    <xf numFmtId="41" fontId="8" fillId="0" borderId="11" xfId="64" applyNumberFormat="1" applyFont="1" applyFill="1" applyBorder="1" applyAlignment="1">
      <alignment horizontal="right" vertical="center" wrapText="1"/>
      <protection/>
    </xf>
    <xf numFmtId="177" fontId="3" fillId="0" borderId="11" xfId="81" applyNumberFormat="1" applyFont="1" applyFill="1" applyBorder="1" applyAlignment="1">
      <alignment vertical="center" wrapText="1"/>
      <protection/>
    </xf>
    <xf numFmtId="0" fontId="6" fillId="0" borderId="13" xfId="81" applyFont="1" applyFill="1" applyBorder="1" applyAlignment="1">
      <alignment vertical="center" wrapText="1"/>
      <protection/>
    </xf>
    <xf numFmtId="177" fontId="4" fillId="0" borderId="11" xfId="81" applyNumberFormat="1" applyFont="1" applyFill="1" applyBorder="1" applyAlignment="1">
      <alignment horizontal="left" vertical="center" wrapText="1"/>
      <protection/>
    </xf>
    <xf numFmtId="177" fontId="3" fillId="0" borderId="11" xfId="81" applyNumberFormat="1" applyFont="1" applyFill="1" applyBorder="1" applyAlignment="1">
      <alignment horizontal="left" vertical="center" wrapText="1"/>
      <protection/>
    </xf>
    <xf numFmtId="0" fontId="0" fillId="0" borderId="0" xfId="69" applyFont="1" applyAlignment="1">
      <alignment vertical="center" wrapText="1"/>
      <protection/>
    </xf>
    <xf numFmtId="0" fontId="9" fillId="0" borderId="0" xfId="69" applyFont="1" applyFill="1" applyAlignment="1">
      <alignment vertical="center" wrapText="1"/>
      <protection/>
    </xf>
    <xf numFmtId="178" fontId="0" fillId="0" borderId="0" xfId="69" applyNumberFormat="1" applyFont="1" applyAlignment="1">
      <alignment vertical="center" wrapText="1"/>
      <protection/>
    </xf>
    <xf numFmtId="0" fontId="10" fillId="0" borderId="0" xfId="69" applyFont="1" applyAlignment="1">
      <alignment horizontal="center" vertical="center" wrapText="1"/>
      <protection/>
    </xf>
    <xf numFmtId="178" fontId="10" fillId="0" borderId="0" xfId="69" applyNumberFormat="1" applyFont="1" applyAlignment="1">
      <alignment horizontal="center" vertical="center" wrapText="1"/>
      <protection/>
    </xf>
    <xf numFmtId="0" fontId="8" fillId="0" borderId="11" xfId="64" applyFont="1" applyBorder="1" applyAlignment="1">
      <alignment horizontal="center" vertical="center" wrapText="1"/>
      <protection/>
    </xf>
    <xf numFmtId="178" fontId="8" fillId="0" borderId="11" xfId="64" applyNumberFormat="1" applyFont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43" fontId="8" fillId="0" borderId="11" xfId="64" applyNumberFormat="1" applyFont="1" applyBorder="1" applyAlignment="1">
      <alignment horizontal="right" vertical="center" wrapText="1"/>
      <protection/>
    </xf>
    <xf numFmtId="43" fontId="11" fillId="0" borderId="11" xfId="64" applyNumberFormat="1" applyFont="1" applyBorder="1" applyAlignment="1">
      <alignment horizontal="right" vertical="center" wrapText="1"/>
      <protection/>
    </xf>
    <xf numFmtId="43" fontId="12" fillId="0" borderId="11" xfId="54" applyNumberFormat="1" applyFont="1" applyFill="1" applyBorder="1" applyAlignment="1">
      <alignment vertical="center" wrapText="1"/>
      <protection/>
    </xf>
    <xf numFmtId="0" fontId="4" fillId="0" borderId="11" xfId="87" applyFont="1" applyBorder="1" applyAlignment="1">
      <alignment vertical="center" wrapText="1"/>
      <protection/>
    </xf>
    <xf numFmtId="43" fontId="5" fillId="0" borderId="11" xfId="64" applyNumberFormat="1" applyFont="1" applyFill="1" applyBorder="1" applyAlignment="1">
      <alignment horizontal="right" vertical="center" wrapText="1"/>
      <protection/>
    </xf>
    <xf numFmtId="43" fontId="5" fillId="0" borderId="11" xfId="64" applyNumberFormat="1" applyFont="1" applyBorder="1" applyAlignment="1">
      <alignment horizontal="right" vertical="center" wrapText="1"/>
      <protection/>
    </xf>
    <xf numFmtId="0" fontId="4" fillId="0" borderId="11" xfId="87" applyFont="1" applyFill="1" applyBorder="1" applyAlignment="1">
      <alignment vertical="center" wrapText="1"/>
      <protection/>
    </xf>
    <xf numFmtId="0" fontId="4" fillId="0" borderId="11" xfId="90" applyFont="1" applyFill="1" applyBorder="1" applyAlignment="1">
      <alignment vertical="center" wrapText="1"/>
      <protection/>
    </xf>
    <xf numFmtId="0" fontId="6" fillId="0" borderId="11" xfId="90" applyFont="1" applyFill="1" applyBorder="1" applyAlignment="1">
      <alignment vertical="center" wrapText="1"/>
      <protection/>
    </xf>
    <xf numFmtId="43" fontId="1" fillId="0" borderId="11" xfId="106" applyNumberFormat="1" applyFont="1" applyFill="1" applyBorder="1" applyAlignment="1">
      <alignment horizontal="right" vertical="center"/>
    </xf>
    <xf numFmtId="0" fontId="13" fillId="0" borderId="11" xfId="64" applyFont="1" applyFill="1" applyBorder="1" applyAlignment="1">
      <alignment horizontal="left" vertical="center" wrapText="1"/>
      <protection/>
    </xf>
    <xf numFmtId="43" fontId="8" fillId="0" borderId="11" xfId="64" applyNumberFormat="1" applyFont="1" applyFill="1" applyBorder="1" applyAlignment="1">
      <alignment horizontal="right" vertical="center" wrapText="1"/>
      <protection/>
    </xf>
    <xf numFmtId="43" fontId="14" fillId="0" borderId="11" xfId="106" applyNumberFormat="1" applyFont="1" applyFill="1" applyBorder="1" applyAlignment="1">
      <alignment horizontal="right" vertical="center"/>
    </xf>
    <xf numFmtId="0" fontId="15" fillId="0" borderId="11" xfId="90" applyFont="1" applyFill="1" applyBorder="1" applyAlignment="1">
      <alignment horizontal="left" vertical="center" wrapText="1"/>
      <protection/>
    </xf>
    <xf numFmtId="0" fontId="9" fillId="0" borderId="11" xfId="69" applyFont="1" applyFill="1" applyBorder="1" applyAlignment="1">
      <alignment vertical="center" wrapText="1"/>
      <protection/>
    </xf>
    <xf numFmtId="0" fontId="16" fillId="0" borderId="11" xfId="90" applyFont="1" applyFill="1" applyBorder="1" applyAlignment="1">
      <alignment horizontal="center" vertical="center" wrapText="1"/>
      <protection/>
    </xf>
    <xf numFmtId="0" fontId="14" fillId="0" borderId="0" xfId="64" applyFont="1" applyAlignment="1">
      <alignment horizontal="center" vertical="center" wrapText="1"/>
      <protection/>
    </xf>
    <xf numFmtId="178" fontId="14" fillId="0" borderId="0" xfId="64" applyNumberFormat="1" applyFont="1" applyAlignment="1">
      <alignment horizontal="center" vertical="center" wrapText="1"/>
      <protection/>
    </xf>
    <xf numFmtId="43" fontId="0" fillId="0" borderId="0" xfId="69" applyNumberFormat="1" applyFont="1" applyAlignment="1">
      <alignment vertical="center" wrapText="1"/>
      <protection/>
    </xf>
    <xf numFmtId="43" fontId="13" fillId="0" borderId="11" xfId="64" applyNumberFormat="1" applyFont="1" applyFill="1" applyBorder="1" applyAlignment="1">
      <alignment horizontal="left" vertical="center" wrapText="1"/>
      <protection/>
    </xf>
    <xf numFmtId="10" fontId="12" fillId="0" borderId="11" xfId="54" applyNumberFormat="1" applyFont="1" applyFill="1" applyBorder="1" applyAlignment="1">
      <alignment vertical="center" wrapText="1"/>
      <protection/>
    </xf>
    <xf numFmtId="43" fontId="4" fillId="0" borderId="11" xfId="87" applyNumberFormat="1" applyFont="1" applyBorder="1" applyAlignment="1">
      <alignment vertical="center" wrapText="1"/>
      <protection/>
    </xf>
    <xf numFmtId="43" fontId="9" fillId="0" borderId="0" xfId="69" applyNumberFormat="1" applyFont="1" applyFill="1" applyAlignment="1">
      <alignment vertical="center" wrapText="1"/>
      <protection/>
    </xf>
    <xf numFmtId="43" fontId="4" fillId="0" borderId="11" xfId="87" applyNumberFormat="1" applyFont="1" applyFill="1" applyBorder="1" applyAlignment="1">
      <alignment vertical="center" wrapText="1"/>
      <protection/>
    </xf>
    <xf numFmtId="43" fontId="4" fillId="0" borderId="11" xfId="90" applyNumberFormat="1" applyFont="1" applyFill="1" applyBorder="1" applyAlignment="1">
      <alignment vertical="center" wrapText="1"/>
      <protection/>
    </xf>
    <xf numFmtId="43" fontId="6" fillId="0" borderId="11" xfId="90" applyNumberFormat="1" applyFont="1" applyFill="1" applyBorder="1" applyAlignment="1">
      <alignment vertical="center" wrapText="1"/>
      <protection/>
    </xf>
    <xf numFmtId="43" fontId="8" fillId="0" borderId="11" xfId="64" applyNumberFormat="1" applyFont="1" applyFill="1" applyBorder="1" applyAlignment="1">
      <alignment horizontal="left" vertical="center" wrapText="1"/>
      <protection/>
    </xf>
    <xf numFmtId="43" fontId="16" fillId="0" borderId="11" xfId="90" applyNumberFormat="1" applyFont="1" applyFill="1" applyBorder="1" applyAlignment="1">
      <alignment horizontal="left" vertical="center" wrapText="1"/>
      <protection/>
    </xf>
    <xf numFmtId="43" fontId="16" fillId="0" borderId="11" xfId="90" applyNumberFormat="1" applyFont="1" applyFill="1" applyBorder="1" applyAlignment="1">
      <alignment horizontal="center" vertical="center" wrapText="1"/>
      <protection/>
    </xf>
    <xf numFmtId="176" fontId="0" fillId="0" borderId="0" xfId="69" applyNumberFormat="1" applyFont="1" applyAlignment="1">
      <alignment vertical="center" wrapTex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4" fontId="10" fillId="0" borderId="0" xfId="18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4" fillId="0" borderId="14" xfId="93" applyFont="1" applyFill="1" applyBorder="1" applyAlignment="1">
      <alignment horizontal="center" vertical="center" wrapText="1"/>
      <protection/>
    </xf>
    <xf numFmtId="179" fontId="20" fillId="0" borderId="11" xfId="22" applyNumberFormat="1" applyFont="1" applyFill="1" applyBorder="1" applyAlignment="1" applyProtection="1">
      <alignment horizontal="right" vertical="center" wrapText="1"/>
      <protection/>
    </xf>
    <xf numFmtId="2" fontId="20" fillId="0" borderId="11" xfId="22" applyNumberFormat="1" applyFont="1" applyFill="1" applyBorder="1" applyAlignment="1">
      <alignment horizontal="right" vertical="center" wrapText="1"/>
    </xf>
    <xf numFmtId="0" fontId="17" fillId="0" borderId="11" xfId="88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2" fillId="0" borderId="11" xfId="88" applyFont="1" applyBorder="1" applyAlignment="1">
      <alignment vertical="center" wrapText="1"/>
      <protection/>
    </xf>
    <xf numFmtId="41" fontId="12" fillId="0" borderId="11" xfId="19" applyFont="1" applyFill="1" applyBorder="1" applyAlignment="1">
      <alignment horizontal="right" vertical="center" wrapText="1"/>
    </xf>
    <xf numFmtId="179" fontId="21" fillId="0" borderId="11" xfId="22" applyNumberFormat="1" applyFont="1" applyFill="1" applyBorder="1" applyAlignment="1" applyProtection="1">
      <alignment horizontal="right" vertical="center" wrapText="1"/>
      <protection/>
    </xf>
    <xf numFmtId="2" fontId="21" fillId="0" borderId="11" xfId="22" applyNumberFormat="1" applyFont="1" applyFill="1" applyBorder="1" applyAlignment="1">
      <alignment horizontal="right" vertical="center" wrapText="1"/>
    </xf>
    <xf numFmtId="0" fontId="19" fillId="0" borderId="11" xfId="88" applyFont="1" applyBorder="1" applyAlignment="1">
      <alignment vertical="center" wrapText="1"/>
      <protection/>
    </xf>
    <xf numFmtId="43" fontId="21" fillId="0" borderId="11" xfId="22" applyNumberFormat="1" applyFont="1" applyFill="1" applyBorder="1" applyAlignment="1">
      <alignment horizontal="right" vertical="center" wrapText="1"/>
    </xf>
    <xf numFmtId="41" fontId="12" fillId="0" borderId="11" xfId="19" applyFont="1" applyBorder="1" applyAlignment="1">
      <alignment horizontal="right" vertical="center" wrapText="1"/>
    </xf>
    <xf numFmtId="0" fontId="12" fillId="0" borderId="11" xfId="0" applyFont="1" applyBorder="1" applyAlignment="1">
      <alignment/>
    </xf>
    <xf numFmtId="49" fontId="17" fillId="0" borderId="11" xfId="89" applyNumberFormat="1" applyFont="1" applyFill="1" applyBorder="1" applyAlignment="1" applyProtection="1">
      <alignment horizontal="left" vertical="center" wrapText="1"/>
      <protection/>
    </xf>
    <xf numFmtId="180" fontId="17" fillId="0" borderId="11" xfId="89" applyNumberFormat="1" applyFont="1" applyFill="1" applyBorder="1" applyAlignment="1">
      <alignment horizontal="right" vertical="center"/>
      <protection/>
    </xf>
    <xf numFmtId="49" fontId="12" fillId="0" borderId="11" xfId="89" applyNumberFormat="1" applyFont="1" applyFill="1" applyBorder="1" applyAlignment="1" applyProtection="1">
      <alignment horizontal="left" vertical="center" wrapText="1"/>
      <protection/>
    </xf>
    <xf numFmtId="180" fontId="12" fillId="0" borderId="11" xfId="89" applyNumberFormat="1" applyFont="1" applyFill="1" applyBorder="1" applyAlignment="1">
      <alignment horizontal="right" vertical="center"/>
      <protection/>
    </xf>
    <xf numFmtId="41" fontId="12" fillId="0" borderId="11" xfId="89" applyNumberFormat="1" applyFont="1" applyFill="1" applyBorder="1" applyAlignment="1">
      <alignment horizontal="right" vertical="center"/>
      <protection/>
    </xf>
    <xf numFmtId="41" fontId="17" fillId="0" borderId="11" xfId="89" applyNumberFormat="1" applyFont="1" applyFill="1" applyBorder="1" applyAlignment="1">
      <alignment horizontal="right" vertical="center"/>
      <protection/>
    </xf>
    <xf numFmtId="0" fontId="14" fillId="0" borderId="11" xfId="93" applyFont="1" applyFill="1" applyBorder="1" applyAlignment="1">
      <alignment vertical="center" wrapText="1"/>
      <protection/>
    </xf>
    <xf numFmtId="41" fontId="20" fillId="0" borderId="11" xfId="22" applyNumberFormat="1" applyFont="1" applyFill="1" applyBorder="1" applyAlignment="1" applyProtection="1">
      <alignment horizontal="right" vertical="center" wrapText="1"/>
      <protection/>
    </xf>
    <xf numFmtId="0" fontId="14" fillId="0" borderId="11" xfId="93" applyFont="1" applyFill="1" applyBorder="1" applyAlignment="1">
      <alignment horizontal="center" vertical="center" wrapText="1"/>
      <protection/>
    </xf>
    <xf numFmtId="179" fontId="17" fillId="0" borderId="11" xfId="89" applyNumberFormat="1" applyFont="1" applyFill="1" applyBorder="1" applyAlignment="1">
      <alignment vertical="center"/>
      <protection/>
    </xf>
    <xf numFmtId="181" fontId="17" fillId="0" borderId="11" xfId="89" applyNumberFormat="1" applyFont="1" applyFill="1" applyBorder="1" applyAlignment="1">
      <alignment vertical="center"/>
      <protection/>
    </xf>
    <xf numFmtId="0" fontId="22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44" fontId="27" fillId="0" borderId="0" xfId="18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41" fontId="23" fillId="0" borderId="11" xfId="19" applyNumberFormat="1" applyFont="1" applyBorder="1" applyAlignment="1" applyProtection="1">
      <alignment vertical="center" wrapText="1"/>
      <protection/>
    </xf>
    <xf numFmtId="43" fontId="23" fillId="0" borderId="11" xfId="22" applyNumberFormat="1" applyFont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41" fontId="22" fillId="0" borderId="11" xfId="19" applyNumberFormat="1" applyFont="1" applyBorder="1" applyAlignment="1" applyProtection="1">
      <alignment vertical="center" wrapText="1"/>
      <protection/>
    </xf>
    <xf numFmtId="41" fontId="19" fillId="0" borderId="11" xfId="19" applyNumberFormat="1" applyFont="1" applyBorder="1" applyAlignment="1" applyProtection="1">
      <alignment vertical="center" wrapText="1"/>
      <protection/>
    </xf>
    <xf numFmtId="43" fontId="22" fillId="0" borderId="11" xfId="22" applyNumberFormat="1" applyFont="1" applyBorder="1" applyAlignment="1" applyProtection="1">
      <alignment vertical="center" wrapText="1"/>
      <protection/>
    </xf>
    <xf numFmtId="0" fontId="19" fillId="0" borderId="11" xfId="0" applyFont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41" fontId="23" fillId="0" borderId="14" xfId="0" applyNumberFormat="1" applyFont="1" applyBorder="1" applyAlignment="1" applyProtection="1">
      <alignment horizontal="left" vertical="center" wrapText="1"/>
      <protection locked="0"/>
    </xf>
    <xf numFmtId="41" fontId="23" fillId="0" borderId="11" xfId="19" applyFont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59" fillId="0" borderId="0" xfId="0" applyFont="1" applyFill="1" applyAlignment="1" applyProtection="1">
      <alignment vertical="center" wrapText="1"/>
      <protection locked="0"/>
    </xf>
    <xf numFmtId="41" fontId="22" fillId="0" borderId="11" xfId="19" applyNumberFormat="1" applyFont="1" applyBorder="1" applyAlignment="1" applyProtection="1">
      <alignment horizontal="left" vertical="center" wrapText="1"/>
      <protection locked="0"/>
    </xf>
    <xf numFmtId="0" fontId="59" fillId="0" borderId="16" xfId="0" applyFont="1" applyBorder="1" applyAlignment="1" applyProtection="1">
      <alignment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41" fontId="23" fillId="0" borderId="11" xfId="19" applyNumberFormat="1" applyFont="1" applyBorder="1" applyAlignment="1" applyProtection="1">
      <alignment horizontal="left" vertical="center" wrapText="1"/>
      <protection locked="0"/>
    </xf>
    <xf numFmtId="0" fontId="19" fillId="0" borderId="15" xfId="85" applyFont="1" applyBorder="1" applyAlignment="1" applyProtection="1">
      <alignment horizontal="center" vertical="center" wrapText="1"/>
      <protection locked="0"/>
    </xf>
    <xf numFmtId="0" fontId="19" fillId="0" borderId="11" xfId="85" applyFont="1" applyBorder="1" applyAlignment="1" applyProtection="1">
      <alignment vertical="center" wrapText="1"/>
      <protection locked="0"/>
    </xf>
    <xf numFmtId="0" fontId="19" fillId="0" borderId="17" xfId="85" applyFont="1" applyBorder="1" applyAlignment="1" applyProtection="1">
      <alignment horizontal="center" vertical="center" wrapText="1"/>
      <protection locked="0"/>
    </xf>
    <xf numFmtId="179" fontId="19" fillId="0" borderId="11" xfId="66" applyNumberFormat="1" applyFont="1" applyFill="1" applyBorder="1" applyAlignment="1">
      <alignment vertical="center" wrapText="1"/>
      <protection/>
    </xf>
    <xf numFmtId="182" fontId="19" fillId="0" borderId="11" xfId="22" applyNumberFormat="1" applyFont="1" applyFill="1" applyBorder="1" applyAlignment="1" applyProtection="1">
      <alignment horizontal="left" vertical="center" wrapText="1"/>
      <protection/>
    </xf>
    <xf numFmtId="41" fontId="19" fillId="0" borderId="11" xfId="66" applyNumberFormat="1" applyFont="1" applyFill="1" applyBorder="1" applyAlignment="1">
      <alignment vertical="center" wrapText="1"/>
      <protection/>
    </xf>
    <xf numFmtId="0" fontId="19" fillId="0" borderId="11" xfId="66" applyFont="1" applyFill="1" applyBorder="1" applyAlignment="1">
      <alignment vertical="center" wrapText="1"/>
      <protection/>
    </xf>
    <xf numFmtId="176" fontId="22" fillId="0" borderId="11" xfId="0" applyNumberFormat="1" applyFont="1" applyBorder="1" applyAlignment="1" applyProtection="1">
      <alignment vertical="center" wrapText="1"/>
      <protection locked="0"/>
    </xf>
    <xf numFmtId="0" fontId="19" fillId="0" borderId="14" xfId="85" applyFont="1" applyBorder="1" applyAlignment="1" applyProtection="1">
      <alignment horizontal="center" vertical="center" wrapText="1"/>
      <protection locked="0"/>
    </xf>
    <xf numFmtId="0" fontId="59" fillId="0" borderId="11" xfId="66" applyFont="1" applyFill="1" applyBorder="1" applyAlignment="1">
      <alignment vertical="center" wrapText="1"/>
      <protection/>
    </xf>
    <xf numFmtId="41" fontId="22" fillId="0" borderId="11" xfId="19" applyNumberFormat="1" applyFont="1" applyFill="1" applyBorder="1" applyAlignment="1" applyProtection="1">
      <alignment vertical="center" wrapText="1"/>
      <protection/>
    </xf>
    <xf numFmtId="0" fontId="24" fillId="0" borderId="11" xfId="0" applyFont="1" applyBorder="1" applyAlignment="1" applyProtection="1">
      <alignment vertical="center" wrapText="1"/>
      <protection locked="0"/>
    </xf>
    <xf numFmtId="41" fontId="24" fillId="0" borderId="11" xfId="0" applyNumberFormat="1" applyFont="1" applyBorder="1" applyAlignment="1" applyProtection="1">
      <alignment vertical="center" wrapText="1"/>
      <protection locked="0"/>
    </xf>
    <xf numFmtId="41" fontId="22" fillId="0" borderId="11" xfId="19" applyFont="1" applyBorder="1" applyAlignment="1" applyProtection="1">
      <alignment vertical="center" wrapText="1"/>
      <protection/>
    </xf>
    <xf numFmtId="41" fontId="23" fillId="0" borderId="11" xfId="0" applyNumberFormat="1" applyFont="1" applyBorder="1" applyAlignment="1" applyProtection="1">
      <alignment horizontal="center" vertical="center" wrapText="1"/>
      <protection locked="0"/>
    </xf>
    <xf numFmtId="41" fontId="30" fillId="0" borderId="11" xfId="66" applyNumberFormat="1" applyFont="1" applyFill="1" applyBorder="1" applyAlignment="1">
      <alignment vertical="center" wrapText="1"/>
      <protection/>
    </xf>
    <xf numFmtId="0" fontId="19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vertical="center" wrapText="1"/>
      <protection locked="0"/>
    </xf>
    <xf numFmtId="0" fontId="60" fillId="0" borderId="11" xfId="0" applyFont="1" applyBorder="1" applyAlignment="1" applyProtection="1">
      <alignment vertical="center" wrapText="1"/>
      <protection locked="0"/>
    </xf>
    <xf numFmtId="0" fontId="24" fillId="0" borderId="11" xfId="109" applyFont="1" applyFill="1" applyBorder="1" applyAlignment="1">
      <alignment vertical="center" wrapText="1"/>
      <protection/>
    </xf>
    <xf numFmtId="0" fontId="0" fillId="0" borderId="11" xfId="109" applyFont="1" applyBorder="1" applyAlignment="1">
      <alignment vertical="center" wrapText="1"/>
      <protection/>
    </xf>
    <xf numFmtId="0" fontId="25" fillId="0" borderId="11" xfId="109" applyFont="1" applyBorder="1" applyAlignment="1">
      <alignment vertical="center" wrapText="1"/>
      <protection/>
    </xf>
    <xf numFmtId="176" fontId="19" fillId="0" borderId="11" xfId="0" applyNumberFormat="1" applyFont="1" applyBorder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24" borderId="11" xfId="0" applyFont="1" applyFill="1" applyBorder="1" applyAlignment="1" applyProtection="1">
      <alignment vertical="center" wrapText="1"/>
      <protection locked="0"/>
    </xf>
    <xf numFmtId="0" fontId="23" fillId="0" borderId="11" xfId="0" applyFont="1" applyFill="1" applyBorder="1" applyAlignment="1" applyProtection="1">
      <alignment vertical="center" wrapText="1"/>
      <protection locked="0"/>
    </xf>
    <xf numFmtId="176" fontId="22" fillId="0" borderId="11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179" fontId="22" fillId="0" borderId="0" xfId="0" applyNumberFormat="1" applyFont="1" applyAlignment="1" applyProtection="1">
      <alignment vertical="center" wrapText="1"/>
      <protection locked="0"/>
    </xf>
    <xf numFmtId="0" fontId="60" fillId="0" borderId="16" xfId="0" applyFont="1" applyBorder="1" applyAlignment="1" applyProtection="1">
      <alignment horizontal="center" vertical="center" wrapText="1"/>
      <protection locked="0"/>
    </xf>
    <xf numFmtId="179" fontId="59" fillId="0" borderId="11" xfId="66" applyNumberFormat="1" applyFont="1" applyFill="1" applyBorder="1" applyAlignment="1">
      <alignment vertical="center" wrapText="1"/>
      <protection/>
    </xf>
    <xf numFmtId="176" fontId="59" fillId="0" borderId="11" xfId="0" applyNumberFormat="1" applyFont="1" applyBorder="1" applyAlignment="1" applyProtection="1">
      <alignment vertical="center" wrapText="1"/>
      <protection locked="0"/>
    </xf>
    <xf numFmtId="0" fontId="59" fillId="0" borderId="1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179" fontId="19" fillId="0" borderId="0" xfId="66" applyNumberFormat="1" applyFont="1" applyFill="1" applyBorder="1" applyAlignment="1">
      <alignment vertical="center" wrapText="1"/>
      <protection/>
    </xf>
    <xf numFmtId="0" fontId="22" fillId="0" borderId="11" xfId="0" applyFont="1" applyBorder="1" applyAlignment="1" applyProtection="1">
      <alignment vertical="center" wrapText="1"/>
      <protection locked="0"/>
    </xf>
    <xf numFmtId="176" fontId="22" fillId="0" borderId="0" xfId="0" applyNumberFormat="1" applyFont="1" applyBorder="1" applyAlignment="1" applyProtection="1">
      <alignment vertical="center" wrapText="1"/>
      <protection locked="0"/>
    </xf>
  </cellXfs>
  <cellStyles count="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百分比 2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百分比 4" xfId="37"/>
    <cellStyle name="标题 2" xfId="38"/>
    <cellStyle name="百分比 5" xfId="39"/>
    <cellStyle name="标题 3" xfId="40"/>
    <cellStyle name="百分比 6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千位分隔[0] 2" xfId="61"/>
    <cellStyle name="强调文字颜色 4" xfId="62"/>
    <cellStyle name="千位分隔[0] 3" xfId="63"/>
    <cellStyle name="常规_2013年鹿寨县预算支出汇总表" xfId="64"/>
    <cellStyle name="20% - 强调文字颜色 4" xfId="65"/>
    <cellStyle name="常规_2010年预算支出调整表（预算）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常规 2 10" xfId="74"/>
    <cellStyle name="60% - 强调文字颜色 6" xfId="75"/>
    <cellStyle name="ColLevel_1" xfId="76"/>
    <cellStyle name="常规 2" xfId="77"/>
    <cellStyle name="RowLevel_1" xfId="78"/>
    <cellStyle name="百分比 3" xfId="79"/>
    <cellStyle name="常规 11" xfId="80"/>
    <cellStyle name="常规 14" xfId="81"/>
    <cellStyle name="常规 3" xfId="82"/>
    <cellStyle name="常规 4" xfId="83"/>
    <cellStyle name="常规 5" xfId="84"/>
    <cellStyle name="常规 7" xfId="85"/>
    <cellStyle name="常规 8" xfId="86"/>
    <cellStyle name="常规 9" xfId="87"/>
    <cellStyle name="常规_2009年收入预算草案" xfId="88"/>
    <cellStyle name="常规_2015年财政预算支出调整表（基金）" xfId="89"/>
    <cellStyle name="常规_2015年基金预算20150113" xfId="90"/>
    <cellStyle name="常规_Sheet1_表七、八柳州市本级2014年财政总预算表格（林丽莉）" xfId="91"/>
    <cellStyle name="常规_表4国资收" xfId="92"/>
    <cellStyle name="常规_附表2：2015年基金预算调整表(初稿）" xfId="93"/>
    <cellStyle name="常规_全区社保" xfId="94"/>
    <cellStyle name="货币 2" xfId="95"/>
    <cellStyle name="货币 3" xfId="96"/>
    <cellStyle name="货币 4" xfId="97"/>
    <cellStyle name="货币 5" xfId="98"/>
    <cellStyle name="货币 6" xfId="99"/>
    <cellStyle name="千位分隔 11" xfId="100"/>
    <cellStyle name="千位分隔 2" xfId="101"/>
    <cellStyle name="千位分隔 3" xfId="102"/>
    <cellStyle name="千位分隔 4" xfId="103"/>
    <cellStyle name="千位分隔 5" xfId="104"/>
    <cellStyle name="千位分隔 6" xfId="105"/>
    <cellStyle name="千位分隔[0] 2 2" xfId="106"/>
    <cellStyle name="样式 1" xfId="107"/>
    <cellStyle name="样式 1 2" xfId="108"/>
    <cellStyle name="常规_全县一般预算收入二00七年完成及二00八年计划（草案）（排2）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pane xSplit="1" ySplit="6" topLeftCell="B7" activePane="bottomRight" state="frozen"/>
      <selection pane="bottomRight" activeCell="G12" sqref="G12"/>
    </sheetView>
  </sheetViews>
  <sheetFormatPr defaultColWidth="9.00390625" defaultRowHeight="14.25"/>
  <cols>
    <col min="1" max="1" width="27.875" style="100" customWidth="1"/>
    <col min="2" max="2" width="13.00390625" style="100" customWidth="1"/>
    <col min="3" max="3" width="12.625" style="100" customWidth="1"/>
    <col min="4" max="4" width="15.625" style="100" customWidth="1"/>
    <col min="5" max="5" width="10.25390625" style="100" customWidth="1"/>
    <col min="6" max="6" width="54.00390625" style="100" customWidth="1"/>
    <col min="7" max="7" width="48.25390625" style="100" customWidth="1"/>
    <col min="8" max="8" width="11.00390625" style="100" customWidth="1"/>
    <col min="9" max="10" width="8.625" style="100" customWidth="1"/>
    <col min="11" max="11" width="11.875" style="100" customWidth="1"/>
    <col min="12" max="14" width="9.00390625" style="100" customWidth="1"/>
    <col min="15" max="17" width="11.375" style="101" customWidth="1"/>
    <col min="18" max="18" width="13.375" style="101" customWidth="1"/>
    <col min="19" max="20" width="11.375" style="101" customWidth="1"/>
    <col min="21" max="21" width="11.375" style="100" customWidth="1"/>
    <col min="22" max="22" width="9.00390625" style="102" customWidth="1"/>
    <col min="23" max="29" width="9.00390625" style="100" customWidth="1"/>
    <col min="30" max="30" width="9.00390625" style="103" customWidth="1"/>
    <col min="31" max="34" width="9.00390625" style="100" customWidth="1"/>
    <col min="35" max="35" width="9.00390625" style="104" customWidth="1"/>
    <col min="36" max="16384" width="9.00390625" style="100" customWidth="1"/>
  </cols>
  <sheetData>
    <row r="1" ht="14.25">
      <c r="A1" s="105" t="s">
        <v>0</v>
      </c>
    </row>
    <row r="2" spans="1:7" ht="21.75" customHeight="1">
      <c r="A2" s="106" t="s">
        <v>1</v>
      </c>
      <c r="B2" s="106"/>
      <c r="C2" s="106"/>
      <c r="D2" s="106"/>
      <c r="E2" s="106"/>
      <c r="F2" s="106"/>
      <c r="G2" s="106"/>
    </row>
    <row r="3" spans="1:7" ht="23.25" customHeight="1">
      <c r="A3" s="106"/>
      <c r="B3" s="106"/>
      <c r="C3" s="106"/>
      <c r="D3" s="106"/>
      <c r="E3" s="106"/>
      <c r="F3" s="106"/>
      <c r="G3" s="106"/>
    </row>
    <row r="4" spans="1:7" ht="13.5" customHeight="1">
      <c r="A4" s="107"/>
      <c r="B4" s="99"/>
      <c r="C4" s="107"/>
      <c r="E4" s="108"/>
      <c r="F4" s="108" t="s">
        <v>2</v>
      </c>
      <c r="G4" s="108"/>
    </row>
    <row r="5" spans="1:35" s="98" customFormat="1" ht="13.5" customHeight="1">
      <c r="A5" s="109" t="s">
        <v>3</v>
      </c>
      <c r="B5" s="109" t="s">
        <v>4</v>
      </c>
      <c r="C5" s="109" t="s">
        <v>5</v>
      </c>
      <c r="D5" s="110" t="s">
        <v>6</v>
      </c>
      <c r="E5" s="110"/>
      <c r="F5" s="110" t="s">
        <v>7</v>
      </c>
      <c r="G5" s="111" t="s">
        <v>8</v>
      </c>
      <c r="O5" s="151"/>
      <c r="P5" s="151"/>
      <c r="Q5" s="151"/>
      <c r="R5" s="151"/>
      <c r="S5" s="151"/>
      <c r="T5" s="151"/>
      <c r="V5" s="162"/>
      <c r="AD5" s="126"/>
      <c r="AI5" s="174"/>
    </row>
    <row r="6" spans="1:35" s="98" customFormat="1" ht="13.5" customHeight="1">
      <c r="A6" s="112"/>
      <c r="B6" s="112"/>
      <c r="C6" s="112"/>
      <c r="D6" s="110" t="s">
        <v>9</v>
      </c>
      <c r="E6" s="110" t="s">
        <v>10</v>
      </c>
      <c r="F6" s="110"/>
      <c r="G6" s="113"/>
      <c r="O6" s="151"/>
      <c r="P6" s="151"/>
      <c r="Q6" s="151"/>
      <c r="R6" s="151"/>
      <c r="S6" s="151"/>
      <c r="T6" s="151"/>
      <c r="V6" s="162"/>
      <c r="AD6" s="126"/>
      <c r="AI6" s="174"/>
    </row>
    <row r="7" spans="1:35" s="99" customFormat="1" ht="15.75" customHeight="1">
      <c r="A7" s="114" t="s">
        <v>11</v>
      </c>
      <c r="B7" s="115">
        <f>B8+B11+B12+B13+B14+B15</f>
        <v>277870</v>
      </c>
      <c r="C7" s="115">
        <f>C8+C11+C12+C13+C14+C15</f>
        <v>336623</v>
      </c>
      <c r="D7" s="115">
        <f aca="true" t="shared" si="0" ref="D7:D15">C7-B7</f>
        <v>58753</v>
      </c>
      <c r="E7" s="116">
        <f aca="true" t="shared" si="1" ref="E7:E12">D7/B7*100</f>
        <v>21.14406017202289</v>
      </c>
      <c r="F7" s="117"/>
      <c r="G7" s="118"/>
      <c r="O7" s="152"/>
      <c r="P7" s="152"/>
      <c r="Q7" s="152"/>
      <c r="R7" s="152"/>
      <c r="S7" s="152"/>
      <c r="T7" s="152"/>
      <c r="V7" s="163"/>
      <c r="AD7" s="168"/>
      <c r="AI7" s="175"/>
    </row>
    <row r="8" spans="1:35" s="98" customFormat="1" ht="15.75" customHeight="1">
      <c r="A8" s="119" t="s">
        <v>12</v>
      </c>
      <c r="B8" s="115">
        <f>B9+B10</f>
        <v>79800</v>
      </c>
      <c r="C8" s="115">
        <f>C9+C10</f>
        <v>67270</v>
      </c>
      <c r="D8" s="115">
        <f t="shared" si="0"/>
        <v>-12530</v>
      </c>
      <c r="E8" s="116">
        <f t="shared" si="1"/>
        <v>-15.701754385964911</v>
      </c>
      <c r="F8" s="120"/>
      <c r="G8" s="99"/>
      <c r="O8" s="151"/>
      <c r="P8" s="151"/>
      <c r="Q8" s="151"/>
      <c r="R8" s="151"/>
      <c r="S8" s="151"/>
      <c r="T8" s="151"/>
      <c r="V8" s="162"/>
      <c r="AD8" s="126"/>
      <c r="AI8" s="174"/>
    </row>
    <row r="9" spans="1:35" s="98" customFormat="1" ht="25.5" customHeight="1">
      <c r="A9" s="121" t="s">
        <v>13</v>
      </c>
      <c r="B9" s="122">
        <v>42300</v>
      </c>
      <c r="C9" s="123">
        <v>36800</v>
      </c>
      <c r="D9" s="122">
        <f t="shared" si="0"/>
        <v>-5500</v>
      </c>
      <c r="E9" s="124">
        <f t="shared" si="1"/>
        <v>-13.002364066193852</v>
      </c>
      <c r="F9" s="125" t="s">
        <v>14</v>
      </c>
      <c r="G9" s="126"/>
      <c r="O9" s="151"/>
      <c r="P9" s="151"/>
      <c r="Q9" s="151"/>
      <c r="R9" s="151"/>
      <c r="S9" s="151"/>
      <c r="T9" s="151"/>
      <c r="V9" s="162"/>
      <c r="AD9" s="126"/>
      <c r="AI9" s="174"/>
    </row>
    <row r="10" spans="1:35" s="98" customFormat="1" ht="13.5" customHeight="1">
      <c r="A10" s="121" t="s">
        <v>15</v>
      </c>
      <c r="B10" s="122">
        <v>37500</v>
      </c>
      <c r="C10" s="122">
        <f>29800+670</f>
        <v>30470</v>
      </c>
      <c r="D10" s="122">
        <f t="shared" si="0"/>
        <v>-7030</v>
      </c>
      <c r="E10" s="124">
        <f t="shared" si="1"/>
        <v>-18.746666666666666</v>
      </c>
      <c r="F10" s="125" t="s">
        <v>16</v>
      </c>
      <c r="G10" s="126"/>
      <c r="O10" s="151"/>
      <c r="P10" s="151"/>
      <c r="Q10" s="151"/>
      <c r="R10" s="151"/>
      <c r="S10" s="151"/>
      <c r="T10" s="151"/>
      <c r="V10" s="162"/>
      <c r="AD10" s="126"/>
      <c r="AI10" s="174"/>
    </row>
    <row r="11" spans="1:35" s="99" customFormat="1" ht="13.5" customHeight="1">
      <c r="A11" s="127" t="s">
        <v>17</v>
      </c>
      <c r="B11" s="115">
        <v>143925</v>
      </c>
      <c r="C11" s="115">
        <v>202221</v>
      </c>
      <c r="D11" s="115">
        <f t="shared" si="0"/>
        <v>58296</v>
      </c>
      <c r="E11" s="116">
        <f t="shared" si="1"/>
        <v>40.50442939030745</v>
      </c>
      <c r="F11" s="125" t="s">
        <v>18</v>
      </c>
      <c r="G11" s="126"/>
      <c r="O11" s="152"/>
      <c r="P11" s="152"/>
      <c r="Q11" s="152"/>
      <c r="R11" s="152"/>
      <c r="S11" s="152"/>
      <c r="T11" s="152"/>
      <c r="V11" s="163" t="s">
        <v>19</v>
      </c>
      <c r="W11" s="99" t="s">
        <v>20</v>
      </c>
      <c r="AD11" s="168"/>
      <c r="AI11" s="175"/>
    </row>
    <row r="12" spans="1:35" s="98" customFormat="1" ht="13.5" customHeight="1">
      <c r="A12" s="127" t="s">
        <v>21</v>
      </c>
      <c r="B12" s="115">
        <v>41408</v>
      </c>
      <c r="C12" s="115">
        <v>41408</v>
      </c>
      <c r="D12" s="115">
        <f t="shared" si="0"/>
        <v>0</v>
      </c>
      <c r="E12" s="116">
        <f t="shared" si="1"/>
        <v>0</v>
      </c>
      <c r="F12" s="125"/>
      <c r="G12" s="126"/>
      <c r="O12" s="151"/>
      <c r="P12" s="151"/>
      <c r="Q12" s="151"/>
      <c r="R12" s="151"/>
      <c r="S12" s="151"/>
      <c r="T12" s="151"/>
      <c r="U12" s="98" t="s">
        <v>22</v>
      </c>
      <c r="V12" s="162">
        <v>66213</v>
      </c>
      <c r="W12" s="98">
        <v>48940</v>
      </c>
      <c r="AD12" s="126"/>
      <c r="AI12" s="174"/>
    </row>
    <row r="13" spans="1:35" s="98" customFormat="1" ht="13.5" customHeight="1">
      <c r="A13" s="127" t="s">
        <v>23</v>
      </c>
      <c r="B13" s="115">
        <v>0</v>
      </c>
      <c r="C13" s="115">
        <v>21740</v>
      </c>
      <c r="D13" s="115">
        <f t="shared" si="0"/>
        <v>21740</v>
      </c>
      <c r="E13" s="128">
        <v>0</v>
      </c>
      <c r="F13" s="125" t="s">
        <v>24</v>
      </c>
      <c r="G13" s="126"/>
      <c r="O13" s="151"/>
      <c r="P13" s="151"/>
      <c r="Q13" s="151"/>
      <c r="R13" s="151" t="s">
        <v>25</v>
      </c>
      <c r="S13" s="151"/>
      <c r="T13" s="151"/>
      <c r="U13" s="98" t="s">
        <v>26</v>
      </c>
      <c r="V13" s="162">
        <f>22744+5649</f>
        <v>28393</v>
      </c>
      <c r="W13" s="98">
        <f>19784+5068</f>
        <v>24852</v>
      </c>
      <c r="AD13" s="126"/>
      <c r="AI13" s="174"/>
    </row>
    <row r="14" spans="1:35" s="98" customFormat="1" ht="13.5" customHeight="1">
      <c r="A14" s="127" t="s">
        <v>27</v>
      </c>
      <c r="B14" s="115">
        <v>0</v>
      </c>
      <c r="C14" s="115">
        <v>0</v>
      </c>
      <c r="D14" s="115">
        <f t="shared" si="0"/>
        <v>0</v>
      </c>
      <c r="E14" s="116">
        <v>0</v>
      </c>
      <c r="F14" s="125"/>
      <c r="G14" s="126"/>
      <c r="O14" s="151"/>
      <c r="P14" s="151"/>
      <c r="Q14" s="151"/>
      <c r="R14" s="151"/>
      <c r="S14" s="151"/>
      <c r="T14" s="151"/>
      <c r="V14" s="162"/>
      <c r="AD14" s="126"/>
      <c r="AI14" s="174"/>
    </row>
    <row r="15" spans="1:35" s="98" customFormat="1" ht="13.5" customHeight="1">
      <c r="A15" s="127" t="s">
        <v>28</v>
      </c>
      <c r="B15" s="115">
        <f>12666+71</f>
        <v>12737</v>
      </c>
      <c r="C15" s="115">
        <f>3734+250</f>
        <v>3984</v>
      </c>
      <c r="D15" s="115">
        <f t="shared" si="0"/>
        <v>-8753</v>
      </c>
      <c r="E15" s="128">
        <v>0</v>
      </c>
      <c r="F15" s="129" t="s">
        <v>29</v>
      </c>
      <c r="G15" s="130"/>
      <c r="O15" s="151"/>
      <c r="P15" s="151"/>
      <c r="Q15" s="151"/>
      <c r="R15" s="151"/>
      <c r="S15" s="151"/>
      <c r="T15" s="151"/>
      <c r="V15" s="162"/>
      <c r="AD15" s="126"/>
      <c r="AE15" s="169" t="e">
        <f>AE18-#REF!</f>
        <v>#REF!</v>
      </c>
      <c r="AI15" s="174"/>
    </row>
    <row r="16" spans="1:35" s="98" customFormat="1" ht="13.5" customHeight="1">
      <c r="A16" s="121"/>
      <c r="B16" s="131"/>
      <c r="C16" s="131"/>
      <c r="D16" s="122"/>
      <c r="E16" s="124"/>
      <c r="F16" s="125"/>
      <c r="G16" s="132"/>
      <c r="H16" s="133" t="s">
        <v>30</v>
      </c>
      <c r="I16" s="133"/>
      <c r="J16" s="133"/>
      <c r="K16" s="133"/>
      <c r="L16" s="153"/>
      <c r="M16" s="154" t="s">
        <v>31</v>
      </c>
      <c r="N16" s="133"/>
      <c r="O16" s="155"/>
      <c r="P16" s="155"/>
      <c r="Q16" s="155"/>
      <c r="R16" s="155"/>
      <c r="S16" s="155"/>
      <c r="T16" s="155"/>
      <c r="U16" s="133"/>
      <c r="V16" s="164"/>
      <c r="W16" s="133"/>
      <c r="X16" s="133"/>
      <c r="Y16" s="133"/>
      <c r="Z16" s="133"/>
      <c r="AA16" s="153"/>
      <c r="AB16" s="154" t="s">
        <v>32</v>
      </c>
      <c r="AC16" s="133"/>
      <c r="AD16" s="170"/>
      <c r="AE16" s="133"/>
      <c r="AF16" s="133"/>
      <c r="AG16" s="133"/>
      <c r="AH16" s="176"/>
      <c r="AI16" s="177"/>
    </row>
    <row r="17" spans="1:37" s="98" customFormat="1" ht="18" customHeight="1">
      <c r="A17" s="114" t="s">
        <v>33</v>
      </c>
      <c r="B17" s="134">
        <f>B18+B41+B42+B43</f>
        <v>277870</v>
      </c>
      <c r="C17" s="134">
        <f>C18+C41+C42+C43</f>
        <v>336623</v>
      </c>
      <c r="D17" s="134">
        <f aca="true" t="shared" si="2" ref="D17:D43">C17-B17</f>
        <v>58753</v>
      </c>
      <c r="E17" s="116">
        <f aca="true" t="shared" si="3" ref="E14:E41">D17/B17*100</f>
        <v>21.14406017202289</v>
      </c>
      <c r="F17" s="125"/>
      <c r="G17" s="135" t="s">
        <v>34</v>
      </c>
      <c r="H17" s="120" t="s">
        <v>4</v>
      </c>
      <c r="I17" s="120" t="s">
        <v>35</v>
      </c>
      <c r="J17" s="120" t="s">
        <v>22</v>
      </c>
      <c r="K17" s="156" t="s">
        <v>36</v>
      </c>
      <c r="L17" s="120" t="s">
        <v>37</v>
      </c>
      <c r="M17" s="120" t="s">
        <v>38</v>
      </c>
      <c r="N17" s="120" t="s">
        <v>39</v>
      </c>
      <c r="O17" s="157" t="s">
        <v>40</v>
      </c>
      <c r="P17" s="157" t="s">
        <v>41</v>
      </c>
      <c r="Q17" s="157" t="s">
        <v>42</v>
      </c>
      <c r="R17" s="157" t="s">
        <v>43</v>
      </c>
      <c r="S17" s="157" t="s">
        <v>44</v>
      </c>
      <c r="T17" s="120" t="s">
        <v>45</v>
      </c>
      <c r="U17" s="165" t="s">
        <v>46</v>
      </c>
      <c r="V17" s="166" t="s">
        <v>47</v>
      </c>
      <c r="W17" s="120" t="s">
        <v>48</v>
      </c>
      <c r="X17" s="120" t="s">
        <v>49</v>
      </c>
      <c r="Y17" s="157" t="s">
        <v>50</v>
      </c>
      <c r="Z17" s="157" t="s">
        <v>51</v>
      </c>
      <c r="AA17" s="120" t="s">
        <v>37</v>
      </c>
      <c r="AB17" s="120" t="s">
        <v>38</v>
      </c>
      <c r="AC17" s="120" t="s">
        <v>35</v>
      </c>
      <c r="AD17" s="157" t="s">
        <v>52</v>
      </c>
      <c r="AE17" s="120" t="s">
        <v>22</v>
      </c>
      <c r="AF17" s="120" t="s">
        <v>47</v>
      </c>
      <c r="AG17" s="120" t="s">
        <v>53</v>
      </c>
      <c r="AH17" s="120" t="s">
        <v>37</v>
      </c>
      <c r="AI17" s="178"/>
      <c r="AJ17" s="120" t="s">
        <v>54</v>
      </c>
      <c r="AK17" s="120" t="s">
        <v>55</v>
      </c>
    </row>
    <row r="18" spans="1:37" s="98" customFormat="1" ht="18" customHeight="1">
      <c r="A18" s="120" t="s">
        <v>56</v>
      </c>
      <c r="B18" s="134">
        <f>SUM(B19:B40)</f>
        <v>273956</v>
      </c>
      <c r="C18" s="134">
        <f>SUM(C19:C40)</f>
        <v>314009</v>
      </c>
      <c r="D18" s="134">
        <f t="shared" si="2"/>
        <v>40053</v>
      </c>
      <c r="E18" s="116">
        <f t="shared" si="3"/>
        <v>14.62023098599775</v>
      </c>
      <c r="F18" s="136"/>
      <c r="G18" s="137"/>
      <c r="H18" s="138">
        <f aca="true" t="shared" si="4" ref="H18:U18">SUM(H19:H40)</f>
        <v>273956</v>
      </c>
      <c r="I18" s="138">
        <f t="shared" si="4"/>
        <v>110653</v>
      </c>
      <c r="J18" s="138">
        <f t="shared" si="4"/>
        <v>64656</v>
      </c>
      <c r="K18" s="138">
        <f t="shared" si="4"/>
        <v>57239</v>
      </c>
      <c r="L18" s="138">
        <f t="shared" si="4"/>
        <v>41408</v>
      </c>
      <c r="M18" s="138">
        <f t="shared" si="4"/>
        <v>314009</v>
      </c>
      <c r="N18" s="138">
        <f t="shared" si="4"/>
        <v>181475</v>
      </c>
      <c r="O18" s="138">
        <f t="shared" si="4"/>
        <v>99583</v>
      </c>
      <c r="P18" s="138">
        <f t="shared" si="4"/>
        <v>5843</v>
      </c>
      <c r="Q18" s="138">
        <f t="shared" si="4"/>
        <v>17639</v>
      </c>
      <c r="R18" s="138">
        <f t="shared" si="4"/>
        <v>19936</v>
      </c>
      <c r="S18" s="138">
        <f t="shared" si="4"/>
        <v>38474</v>
      </c>
      <c r="T18" s="138">
        <f t="shared" si="4"/>
        <v>68748</v>
      </c>
      <c r="U18" s="138">
        <f t="shared" si="4"/>
        <v>48940</v>
      </c>
      <c r="V18" s="138">
        <f aca="true" t="shared" si="5" ref="V18:AB18">SUM(V19:V40)</f>
        <v>77738</v>
      </c>
      <c r="W18" s="138">
        <f t="shared" si="5"/>
        <v>0</v>
      </c>
      <c r="X18" s="138">
        <f t="shared" si="5"/>
        <v>0</v>
      </c>
      <c r="Y18" s="171">
        <f t="shared" si="5"/>
        <v>0</v>
      </c>
      <c r="Z18" s="171">
        <f t="shared" si="5"/>
        <v>55360</v>
      </c>
      <c r="AA18" s="138">
        <f t="shared" si="5"/>
        <v>41408</v>
      </c>
      <c r="AB18" s="138">
        <f t="shared" si="5"/>
        <v>0</v>
      </c>
      <c r="AC18" s="138">
        <f aca="true" t="shared" si="6" ref="AC18:AH18">SUM(AC19:AC40)</f>
        <v>0</v>
      </c>
      <c r="AD18" s="171">
        <f t="shared" si="6"/>
        <v>0</v>
      </c>
      <c r="AE18" s="138">
        <f t="shared" si="6"/>
        <v>0</v>
      </c>
      <c r="AF18" s="138">
        <f t="shared" si="6"/>
        <v>0</v>
      </c>
      <c r="AG18" s="138">
        <f t="shared" si="6"/>
        <v>0</v>
      </c>
      <c r="AH18" s="138">
        <f t="shared" si="6"/>
        <v>0</v>
      </c>
      <c r="AI18" s="179"/>
      <c r="AJ18" s="180"/>
      <c r="AK18" s="180"/>
    </row>
    <row r="19" spans="1:37" s="98" customFormat="1" ht="24" customHeight="1">
      <c r="A19" s="139" t="s">
        <v>57</v>
      </c>
      <c r="B19" s="140">
        <v>20438</v>
      </c>
      <c r="C19" s="140">
        <f>M19</f>
        <v>21748</v>
      </c>
      <c r="D19" s="122">
        <f t="shared" si="2"/>
        <v>1310</v>
      </c>
      <c r="E19" s="124">
        <f t="shared" si="3"/>
        <v>6.4096291222233095</v>
      </c>
      <c r="F19" s="141" t="s">
        <v>58</v>
      </c>
      <c r="G19" s="137"/>
      <c r="H19" s="142">
        <f aca="true" t="shared" si="7" ref="H19:H40">SUM(I19:L19)</f>
        <v>20438</v>
      </c>
      <c r="I19" s="158">
        <v>14853</v>
      </c>
      <c r="J19" s="142">
        <v>5310</v>
      </c>
      <c r="K19" s="159">
        <f>21+3</f>
        <v>24</v>
      </c>
      <c r="L19" s="160">
        <v>251</v>
      </c>
      <c r="M19" s="138">
        <f>N19+T19+V19+AA19-Z19</f>
        <v>21748</v>
      </c>
      <c r="N19" s="142">
        <f>O19+P19+Q19+R19+S19</f>
        <v>17863</v>
      </c>
      <c r="O19" s="161">
        <v>13986</v>
      </c>
      <c r="P19" s="161">
        <v>2025</v>
      </c>
      <c r="Q19" s="161">
        <v>36</v>
      </c>
      <c r="R19" s="161">
        <v>1808</v>
      </c>
      <c r="S19" s="161">
        <v>8</v>
      </c>
      <c r="T19" s="161">
        <v>6209</v>
      </c>
      <c r="U19" s="142">
        <v>3501</v>
      </c>
      <c r="V19" s="167">
        <v>785</v>
      </c>
      <c r="W19" s="142"/>
      <c r="X19" s="142"/>
      <c r="Y19" s="172"/>
      <c r="Z19" s="173">
        <f>3823+207-670</f>
        <v>3360</v>
      </c>
      <c r="AA19" s="160">
        <v>251</v>
      </c>
      <c r="AB19" s="138"/>
      <c r="AC19" s="142"/>
      <c r="AD19" s="172"/>
      <c r="AE19" s="142">
        <f>AD19</f>
        <v>0</v>
      </c>
      <c r="AF19" s="142"/>
      <c r="AG19" s="142"/>
      <c r="AH19" s="142">
        <f aca="true" t="shared" si="8" ref="AH19:AH40">AA19-L19</f>
        <v>0</v>
      </c>
      <c r="AI19" s="181"/>
      <c r="AJ19" s="142"/>
      <c r="AK19" s="142"/>
    </row>
    <row r="20" spans="1:37" s="98" customFormat="1" ht="24" customHeight="1">
      <c r="A20" s="139" t="s">
        <v>59</v>
      </c>
      <c r="B20" s="140">
        <v>205</v>
      </c>
      <c r="C20" s="140">
        <f aca="true" t="shared" si="9" ref="C20:C40">M20</f>
        <v>218</v>
      </c>
      <c r="D20" s="122">
        <f t="shared" si="2"/>
        <v>13</v>
      </c>
      <c r="E20" s="124">
        <f t="shared" si="3"/>
        <v>6.341463414634147</v>
      </c>
      <c r="F20" s="141" t="s">
        <v>58</v>
      </c>
      <c r="G20" s="143"/>
      <c r="H20" s="142">
        <f t="shared" si="7"/>
        <v>205</v>
      </c>
      <c r="I20" s="158">
        <v>95</v>
      </c>
      <c r="J20" s="142">
        <v>37</v>
      </c>
      <c r="K20" s="159">
        <v>73</v>
      </c>
      <c r="L20" s="160"/>
      <c r="M20" s="138">
        <f aca="true" t="shared" si="10" ref="M20:M40">N20+T20+V20+AA20-Z20</f>
        <v>218</v>
      </c>
      <c r="N20" s="142">
        <f aca="true" t="shared" si="11" ref="N20:N40">O20+P20+Q20+R20+S20</f>
        <v>115</v>
      </c>
      <c r="O20" s="161">
        <v>80</v>
      </c>
      <c r="P20" s="161">
        <v>9</v>
      </c>
      <c r="Q20" s="161"/>
      <c r="R20" s="161">
        <v>26</v>
      </c>
      <c r="S20" s="161"/>
      <c r="T20" s="161">
        <v>35</v>
      </c>
      <c r="U20" s="142">
        <v>29</v>
      </c>
      <c r="V20" s="167">
        <v>68</v>
      </c>
      <c r="W20" s="142"/>
      <c r="X20" s="142"/>
      <c r="Y20" s="172"/>
      <c r="Z20" s="173"/>
      <c r="AA20" s="160"/>
      <c r="AB20" s="138"/>
      <c r="AC20" s="142"/>
      <c r="AD20" s="172"/>
      <c r="AE20" s="142">
        <f aca="true" t="shared" si="12" ref="AE20:AE40">AD20</f>
        <v>0</v>
      </c>
      <c r="AF20" s="142"/>
      <c r="AG20" s="142"/>
      <c r="AH20" s="142">
        <f t="shared" si="8"/>
        <v>0</v>
      </c>
      <c r="AI20" s="181"/>
      <c r="AJ20" s="142"/>
      <c r="AK20" s="142"/>
    </row>
    <row r="21" spans="1:37" s="98" customFormat="1" ht="24" customHeight="1">
      <c r="A21" s="139" t="s">
        <v>60</v>
      </c>
      <c r="B21" s="140">
        <v>12183</v>
      </c>
      <c r="C21" s="140">
        <f t="shared" si="9"/>
        <v>12546</v>
      </c>
      <c r="D21" s="122">
        <f t="shared" si="2"/>
        <v>363</v>
      </c>
      <c r="E21" s="124">
        <f t="shared" si="3"/>
        <v>2.9795616843142083</v>
      </c>
      <c r="F21" s="141" t="s">
        <v>58</v>
      </c>
      <c r="G21" s="144"/>
      <c r="H21" s="142">
        <f t="shared" si="7"/>
        <v>12183</v>
      </c>
      <c r="I21" s="158">
        <v>4450</v>
      </c>
      <c r="J21" s="142">
        <v>6475</v>
      </c>
      <c r="K21" s="159"/>
      <c r="L21" s="160">
        <v>1258</v>
      </c>
      <c r="M21" s="138">
        <f t="shared" si="10"/>
        <v>12546</v>
      </c>
      <c r="N21" s="142">
        <f t="shared" si="11"/>
        <v>6230</v>
      </c>
      <c r="O21" s="161">
        <v>4798</v>
      </c>
      <c r="P21" s="161">
        <v>1306</v>
      </c>
      <c r="Q21" s="161">
        <v>0</v>
      </c>
      <c r="R21" s="161">
        <v>123</v>
      </c>
      <c r="S21" s="161">
        <v>3</v>
      </c>
      <c r="T21" s="161">
        <v>6154</v>
      </c>
      <c r="U21" s="142">
        <v>4246</v>
      </c>
      <c r="V21" s="167">
        <v>904</v>
      </c>
      <c r="W21" s="142"/>
      <c r="X21" s="142"/>
      <c r="Y21" s="172"/>
      <c r="Z21" s="173">
        <v>2000</v>
      </c>
      <c r="AA21" s="160">
        <v>1258</v>
      </c>
      <c r="AB21" s="138"/>
      <c r="AC21" s="142"/>
      <c r="AD21" s="172"/>
      <c r="AE21" s="142">
        <f t="shared" si="12"/>
        <v>0</v>
      </c>
      <c r="AF21" s="142"/>
      <c r="AG21" s="142"/>
      <c r="AH21" s="142">
        <f t="shared" si="8"/>
        <v>0</v>
      </c>
      <c r="AI21" s="181"/>
      <c r="AJ21" s="142"/>
      <c r="AK21" s="142"/>
    </row>
    <row r="22" spans="1:37" s="98" customFormat="1" ht="24" customHeight="1">
      <c r="A22" s="139" t="s">
        <v>61</v>
      </c>
      <c r="B22" s="140">
        <v>55587</v>
      </c>
      <c r="C22" s="140">
        <f t="shared" si="9"/>
        <v>56555</v>
      </c>
      <c r="D22" s="122">
        <f t="shared" si="2"/>
        <v>968</v>
      </c>
      <c r="E22" s="124">
        <f t="shared" si="3"/>
        <v>1.7414143594725386</v>
      </c>
      <c r="F22" s="141" t="s">
        <v>58</v>
      </c>
      <c r="G22" s="144"/>
      <c r="H22" s="142">
        <f t="shared" si="7"/>
        <v>55587</v>
      </c>
      <c r="I22" s="158">
        <v>33673</v>
      </c>
      <c r="J22" s="142">
        <v>8408</v>
      </c>
      <c r="K22" s="159">
        <v>8174</v>
      </c>
      <c r="L22" s="160">
        <v>5332</v>
      </c>
      <c r="M22" s="138">
        <f t="shared" si="10"/>
        <v>56555</v>
      </c>
      <c r="N22" s="142">
        <f t="shared" si="11"/>
        <v>47753</v>
      </c>
      <c r="O22" s="161">
        <v>31533</v>
      </c>
      <c r="P22" s="161">
        <v>441</v>
      </c>
      <c r="Q22" s="161">
        <v>817</v>
      </c>
      <c r="R22" s="161">
        <v>6295</v>
      </c>
      <c r="S22" s="161">
        <v>8667</v>
      </c>
      <c r="T22" s="161">
        <v>10592</v>
      </c>
      <c r="U22" s="142">
        <v>5005</v>
      </c>
      <c r="V22" s="167">
        <v>3378</v>
      </c>
      <c r="W22" s="142"/>
      <c r="X22" s="142"/>
      <c r="Y22" s="172"/>
      <c r="Z22" s="173">
        <v>10500</v>
      </c>
      <c r="AA22" s="160">
        <v>5332</v>
      </c>
      <c r="AB22" s="138"/>
      <c r="AC22" s="142"/>
      <c r="AD22" s="172"/>
      <c r="AE22" s="142">
        <f t="shared" si="12"/>
        <v>0</v>
      </c>
      <c r="AF22" s="142"/>
      <c r="AG22" s="142"/>
      <c r="AH22" s="142">
        <f t="shared" si="8"/>
        <v>0</v>
      </c>
      <c r="AI22" s="181"/>
      <c r="AJ22" s="142"/>
      <c r="AK22" s="142"/>
    </row>
    <row r="23" spans="1:37" s="98" customFormat="1" ht="24" customHeight="1">
      <c r="A23" s="139" t="s">
        <v>62</v>
      </c>
      <c r="B23" s="140">
        <v>2954</v>
      </c>
      <c r="C23" s="140">
        <f t="shared" si="9"/>
        <v>3159</v>
      </c>
      <c r="D23" s="122">
        <f t="shared" si="2"/>
        <v>205</v>
      </c>
      <c r="E23" s="124">
        <f t="shared" si="3"/>
        <v>6.939742721733243</v>
      </c>
      <c r="F23" s="141" t="s">
        <v>58</v>
      </c>
      <c r="G23" s="144"/>
      <c r="H23" s="142">
        <f t="shared" si="7"/>
        <v>2954</v>
      </c>
      <c r="I23" s="158">
        <v>444</v>
      </c>
      <c r="J23" s="142">
        <v>1890</v>
      </c>
      <c r="K23" s="159"/>
      <c r="L23" s="160">
        <v>620</v>
      </c>
      <c r="M23" s="138">
        <f t="shared" si="10"/>
        <v>3159</v>
      </c>
      <c r="N23" s="142">
        <f t="shared" si="11"/>
        <v>690</v>
      </c>
      <c r="O23" s="161">
        <v>412</v>
      </c>
      <c r="P23" s="161">
        <v>56</v>
      </c>
      <c r="Q23" s="161">
        <v>82</v>
      </c>
      <c r="R23" s="161">
        <v>140</v>
      </c>
      <c r="S23" s="161"/>
      <c r="T23" s="161">
        <v>2229</v>
      </c>
      <c r="U23" s="142">
        <v>2130</v>
      </c>
      <c r="V23" s="167">
        <v>420</v>
      </c>
      <c r="W23" s="142"/>
      <c r="X23" s="142"/>
      <c r="Y23" s="172"/>
      <c r="Z23" s="173">
        <v>800</v>
      </c>
      <c r="AA23" s="160">
        <v>620</v>
      </c>
      <c r="AB23" s="138"/>
      <c r="AC23" s="142"/>
      <c r="AD23" s="172"/>
      <c r="AE23" s="142">
        <f t="shared" si="12"/>
        <v>0</v>
      </c>
      <c r="AF23" s="142"/>
      <c r="AG23" s="142"/>
      <c r="AH23" s="142">
        <f t="shared" si="8"/>
        <v>0</v>
      </c>
      <c r="AI23" s="181"/>
      <c r="AJ23" s="142"/>
      <c r="AK23" s="142"/>
    </row>
    <row r="24" spans="1:37" s="99" customFormat="1" ht="24" customHeight="1">
      <c r="A24" s="139" t="s">
        <v>63</v>
      </c>
      <c r="B24" s="140">
        <v>2827</v>
      </c>
      <c r="C24" s="140">
        <f t="shared" si="9"/>
        <v>3557</v>
      </c>
      <c r="D24" s="122">
        <f t="shared" si="2"/>
        <v>730</v>
      </c>
      <c r="E24" s="124">
        <f t="shared" si="3"/>
        <v>25.822426600636717</v>
      </c>
      <c r="F24" s="141" t="s">
        <v>58</v>
      </c>
      <c r="G24" s="144"/>
      <c r="H24" s="142">
        <f t="shared" si="7"/>
        <v>2827</v>
      </c>
      <c r="I24" s="158">
        <v>1128</v>
      </c>
      <c r="J24" s="142">
        <v>272</v>
      </c>
      <c r="K24" s="159">
        <v>347</v>
      </c>
      <c r="L24" s="160">
        <v>1080</v>
      </c>
      <c r="M24" s="138">
        <f t="shared" si="10"/>
        <v>3557</v>
      </c>
      <c r="N24" s="142">
        <f t="shared" si="11"/>
        <v>1744</v>
      </c>
      <c r="O24" s="161">
        <v>850</v>
      </c>
      <c r="P24" s="161">
        <v>127</v>
      </c>
      <c r="Q24" s="161">
        <v>9</v>
      </c>
      <c r="R24" s="161">
        <v>483</v>
      </c>
      <c r="S24" s="161">
        <v>275</v>
      </c>
      <c r="T24" s="161">
        <v>1201</v>
      </c>
      <c r="U24" s="142">
        <v>977</v>
      </c>
      <c r="V24" s="167">
        <v>732</v>
      </c>
      <c r="W24" s="142"/>
      <c r="X24" s="142"/>
      <c r="Y24" s="172"/>
      <c r="Z24" s="173">
        <v>1200</v>
      </c>
      <c r="AA24" s="160">
        <v>1080</v>
      </c>
      <c r="AB24" s="138"/>
      <c r="AC24" s="142"/>
      <c r="AD24" s="172"/>
      <c r="AE24" s="142">
        <f t="shared" si="12"/>
        <v>0</v>
      </c>
      <c r="AF24" s="142"/>
      <c r="AG24" s="142"/>
      <c r="AH24" s="142">
        <f t="shared" si="8"/>
        <v>0</v>
      </c>
      <c r="AI24" s="181"/>
      <c r="AJ24" s="142"/>
      <c r="AK24" s="142"/>
    </row>
    <row r="25" spans="1:37" s="98" customFormat="1" ht="24" customHeight="1">
      <c r="A25" s="139" t="s">
        <v>64</v>
      </c>
      <c r="B25" s="140">
        <v>58419</v>
      </c>
      <c r="C25" s="140">
        <f t="shared" si="9"/>
        <v>58703</v>
      </c>
      <c r="D25" s="122">
        <f t="shared" si="2"/>
        <v>284</v>
      </c>
      <c r="E25" s="124">
        <f t="shared" si="3"/>
        <v>0.4861432068333933</v>
      </c>
      <c r="F25" s="141" t="s">
        <v>58</v>
      </c>
      <c r="G25" s="144"/>
      <c r="H25" s="142">
        <f t="shared" si="7"/>
        <v>58419</v>
      </c>
      <c r="I25" s="158">
        <v>24434</v>
      </c>
      <c r="J25" s="142">
        <v>10808</v>
      </c>
      <c r="K25" s="159">
        <f>309+21555</f>
        <v>21864</v>
      </c>
      <c r="L25" s="160">
        <v>1313</v>
      </c>
      <c r="M25" s="138">
        <f t="shared" si="10"/>
        <v>58703</v>
      </c>
      <c r="N25" s="142">
        <f t="shared" si="11"/>
        <v>56432</v>
      </c>
      <c r="O25" s="161">
        <v>18429</v>
      </c>
      <c r="P25" s="161">
        <v>398</v>
      </c>
      <c r="Q25" s="161">
        <v>9505</v>
      </c>
      <c r="R25" s="161">
        <v>7215</v>
      </c>
      <c r="S25" s="161">
        <v>20885</v>
      </c>
      <c r="T25" s="161">
        <v>3269</v>
      </c>
      <c r="U25" s="142">
        <v>2511</v>
      </c>
      <c r="V25" s="167">
        <v>2689</v>
      </c>
      <c r="W25" s="142"/>
      <c r="X25" s="142"/>
      <c r="Y25" s="172"/>
      <c r="Z25" s="173">
        <v>5000</v>
      </c>
      <c r="AA25" s="160">
        <v>1313</v>
      </c>
      <c r="AB25" s="138"/>
      <c r="AC25" s="142"/>
      <c r="AD25" s="172"/>
      <c r="AE25" s="142">
        <f t="shared" si="12"/>
        <v>0</v>
      </c>
      <c r="AF25" s="142"/>
      <c r="AG25" s="142"/>
      <c r="AH25" s="142">
        <f t="shared" si="8"/>
        <v>0</v>
      </c>
      <c r="AI25" s="181"/>
      <c r="AJ25" s="142"/>
      <c r="AK25" s="142"/>
    </row>
    <row r="26" spans="1:37" s="98" customFormat="1" ht="24" customHeight="1">
      <c r="A26" s="139" t="s">
        <v>65</v>
      </c>
      <c r="B26" s="140">
        <v>22887</v>
      </c>
      <c r="C26" s="140">
        <f t="shared" si="9"/>
        <v>30474</v>
      </c>
      <c r="D26" s="145">
        <f t="shared" si="2"/>
        <v>7587</v>
      </c>
      <c r="E26" s="124">
        <f t="shared" si="3"/>
        <v>33.149823043649235</v>
      </c>
      <c r="F26" s="141" t="s">
        <v>58</v>
      </c>
      <c r="G26" s="144"/>
      <c r="H26" s="142">
        <f t="shared" si="7"/>
        <v>22887</v>
      </c>
      <c r="I26" s="158">
        <v>12194</v>
      </c>
      <c r="J26" s="142">
        <v>6385</v>
      </c>
      <c r="K26" s="159">
        <v>1388</v>
      </c>
      <c r="L26" s="160">
        <v>2920</v>
      </c>
      <c r="M26" s="138">
        <f t="shared" si="10"/>
        <v>30474</v>
      </c>
      <c r="N26" s="142">
        <f t="shared" si="11"/>
        <v>25104</v>
      </c>
      <c r="O26" s="161">
        <v>11888</v>
      </c>
      <c r="P26" s="161">
        <v>196</v>
      </c>
      <c r="Q26" s="161">
        <v>3557</v>
      </c>
      <c r="R26" s="161">
        <v>827</v>
      </c>
      <c r="S26" s="161">
        <v>8636</v>
      </c>
      <c r="T26" s="161">
        <v>2069</v>
      </c>
      <c r="U26" s="142">
        <v>764</v>
      </c>
      <c r="V26" s="167">
        <v>2381</v>
      </c>
      <c r="W26" s="142"/>
      <c r="X26" s="142"/>
      <c r="Y26" s="172"/>
      <c r="Z26" s="173">
        <v>2000</v>
      </c>
      <c r="AA26" s="160">
        <v>2920</v>
      </c>
      <c r="AB26" s="138"/>
      <c r="AC26" s="142"/>
      <c r="AD26" s="172"/>
      <c r="AE26" s="142">
        <f t="shared" si="12"/>
        <v>0</v>
      </c>
      <c r="AF26" s="142"/>
      <c r="AG26" s="142"/>
      <c r="AH26" s="142">
        <f t="shared" si="8"/>
        <v>0</v>
      </c>
      <c r="AI26" s="181"/>
      <c r="AJ26" s="142"/>
      <c r="AK26" s="142"/>
    </row>
    <row r="27" spans="1:37" s="98" customFormat="1" ht="24" customHeight="1">
      <c r="A27" s="139" t="s">
        <v>66</v>
      </c>
      <c r="B27" s="140">
        <v>6117</v>
      </c>
      <c r="C27" s="140">
        <f t="shared" si="9"/>
        <v>9232</v>
      </c>
      <c r="D27" s="145">
        <f t="shared" si="2"/>
        <v>3115</v>
      </c>
      <c r="E27" s="124">
        <f t="shared" si="3"/>
        <v>50.92365538662743</v>
      </c>
      <c r="F27" s="141" t="s">
        <v>58</v>
      </c>
      <c r="G27" s="144"/>
      <c r="H27" s="142">
        <f t="shared" si="7"/>
        <v>6117</v>
      </c>
      <c r="I27" s="158"/>
      <c r="J27" s="142">
        <v>23</v>
      </c>
      <c r="K27" s="159">
        <f>-8+175</f>
        <v>167</v>
      </c>
      <c r="L27" s="160">
        <v>5927</v>
      </c>
      <c r="M27" s="138">
        <f t="shared" si="10"/>
        <v>9232</v>
      </c>
      <c r="N27" s="142">
        <f t="shared" si="11"/>
        <v>0</v>
      </c>
      <c r="O27" s="161"/>
      <c r="P27" s="161"/>
      <c r="Q27" s="161"/>
      <c r="R27" s="161"/>
      <c r="S27" s="161"/>
      <c r="T27" s="161">
        <v>232</v>
      </c>
      <c r="U27" s="142">
        <v>221</v>
      </c>
      <c r="V27" s="167">
        <v>3073</v>
      </c>
      <c r="W27" s="142"/>
      <c r="X27" s="142"/>
      <c r="Y27" s="172"/>
      <c r="Z27" s="173"/>
      <c r="AA27" s="160">
        <v>5927</v>
      </c>
      <c r="AB27" s="138"/>
      <c r="AC27" s="142"/>
      <c r="AD27" s="172"/>
      <c r="AE27" s="142">
        <f t="shared" si="12"/>
        <v>0</v>
      </c>
      <c r="AF27" s="142"/>
      <c r="AG27" s="142"/>
      <c r="AH27" s="142">
        <f t="shared" si="8"/>
        <v>0</v>
      </c>
      <c r="AI27" s="181"/>
      <c r="AJ27" s="142"/>
      <c r="AK27" s="142"/>
    </row>
    <row r="28" spans="1:37" s="98" customFormat="1" ht="24" customHeight="1">
      <c r="A28" s="139" t="s">
        <v>67</v>
      </c>
      <c r="B28" s="140">
        <v>9104</v>
      </c>
      <c r="C28" s="140">
        <f t="shared" si="9"/>
        <v>9241</v>
      </c>
      <c r="D28" s="145">
        <f t="shared" si="2"/>
        <v>137</v>
      </c>
      <c r="E28" s="124">
        <f t="shared" si="3"/>
        <v>1.5048330404217927</v>
      </c>
      <c r="F28" s="141" t="s">
        <v>58</v>
      </c>
      <c r="G28" s="144"/>
      <c r="H28" s="142">
        <f t="shared" si="7"/>
        <v>9104</v>
      </c>
      <c r="I28" s="158">
        <v>3595</v>
      </c>
      <c r="J28" s="142">
        <v>4401</v>
      </c>
      <c r="K28" s="159">
        <v>180</v>
      </c>
      <c r="L28" s="160">
        <v>928</v>
      </c>
      <c r="M28" s="138">
        <f t="shared" si="10"/>
        <v>9241</v>
      </c>
      <c r="N28" s="142">
        <f t="shared" si="11"/>
        <v>4038</v>
      </c>
      <c r="O28" s="161">
        <v>2723</v>
      </c>
      <c r="P28" s="161">
        <v>387</v>
      </c>
      <c r="Q28" s="161"/>
      <c r="R28" s="161">
        <v>928</v>
      </c>
      <c r="S28" s="161"/>
      <c r="T28" s="161">
        <v>10205</v>
      </c>
      <c r="U28" s="142">
        <v>7078</v>
      </c>
      <c r="V28" s="167">
        <v>2070</v>
      </c>
      <c r="W28" s="142"/>
      <c r="X28" s="142"/>
      <c r="Y28" s="172"/>
      <c r="Z28" s="173">
        <v>8000</v>
      </c>
      <c r="AA28" s="160">
        <v>928</v>
      </c>
      <c r="AB28" s="138"/>
      <c r="AC28" s="142"/>
      <c r="AD28" s="172"/>
      <c r="AE28" s="142">
        <f t="shared" si="12"/>
        <v>0</v>
      </c>
      <c r="AF28" s="142"/>
      <c r="AG28" s="142"/>
      <c r="AH28" s="142">
        <f t="shared" si="8"/>
        <v>0</v>
      </c>
      <c r="AI28" s="181"/>
      <c r="AJ28" s="142"/>
      <c r="AK28" s="142"/>
    </row>
    <row r="29" spans="1:37" s="98" customFormat="1" ht="24" customHeight="1">
      <c r="A29" s="139" t="s">
        <v>68</v>
      </c>
      <c r="B29" s="140">
        <v>41201</v>
      </c>
      <c r="C29" s="140">
        <f t="shared" si="9"/>
        <v>56512</v>
      </c>
      <c r="D29" s="145">
        <f t="shared" si="2"/>
        <v>15311</v>
      </c>
      <c r="E29" s="124">
        <f t="shared" si="3"/>
        <v>37.16171937574331</v>
      </c>
      <c r="F29" s="141" t="s">
        <v>58</v>
      </c>
      <c r="G29" s="144"/>
      <c r="H29" s="142">
        <f t="shared" si="7"/>
        <v>41201</v>
      </c>
      <c r="I29" s="158">
        <v>5022</v>
      </c>
      <c r="J29" s="142">
        <v>7187</v>
      </c>
      <c r="K29" s="159">
        <f>4563+13072</f>
        <v>17635</v>
      </c>
      <c r="L29" s="160">
        <v>11357</v>
      </c>
      <c r="M29" s="138">
        <f t="shared" si="10"/>
        <v>56512</v>
      </c>
      <c r="N29" s="142">
        <f t="shared" si="11"/>
        <v>10260</v>
      </c>
      <c r="O29" s="161">
        <v>4466</v>
      </c>
      <c r="P29" s="161">
        <v>596</v>
      </c>
      <c r="Q29" s="161">
        <v>3633</v>
      </c>
      <c r="R29" s="161">
        <v>1565</v>
      </c>
      <c r="S29" s="161"/>
      <c r="T29" s="161">
        <v>13236</v>
      </c>
      <c r="U29" s="142">
        <v>11206</v>
      </c>
      <c r="V29" s="167">
        <v>34659</v>
      </c>
      <c r="W29" s="142"/>
      <c r="X29" s="142"/>
      <c r="Y29" s="172"/>
      <c r="Z29" s="173">
        <v>13000</v>
      </c>
      <c r="AA29" s="160">
        <v>11357</v>
      </c>
      <c r="AB29" s="138"/>
      <c r="AC29" s="142"/>
      <c r="AD29" s="172"/>
      <c r="AE29" s="142">
        <f t="shared" si="12"/>
        <v>0</v>
      </c>
      <c r="AF29" s="142"/>
      <c r="AG29" s="142"/>
      <c r="AH29" s="142">
        <f t="shared" si="8"/>
        <v>0</v>
      </c>
      <c r="AI29" s="181"/>
      <c r="AJ29" s="142"/>
      <c r="AK29" s="142"/>
    </row>
    <row r="30" spans="1:37" s="98" customFormat="1" ht="24" customHeight="1">
      <c r="A30" s="139" t="s">
        <v>69</v>
      </c>
      <c r="B30" s="140">
        <v>3779</v>
      </c>
      <c r="C30" s="140">
        <f t="shared" si="9"/>
        <v>6848</v>
      </c>
      <c r="D30" s="145">
        <f t="shared" si="2"/>
        <v>3069</v>
      </c>
      <c r="E30" s="124">
        <f t="shared" si="3"/>
        <v>81.21196083620005</v>
      </c>
      <c r="F30" s="141" t="s">
        <v>58</v>
      </c>
      <c r="G30" s="144"/>
      <c r="H30" s="142">
        <f t="shared" si="7"/>
        <v>3779</v>
      </c>
      <c r="I30" s="158">
        <v>709</v>
      </c>
      <c r="J30" s="142">
        <v>264</v>
      </c>
      <c r="K30" s="159">
        <v>2640</v>
      </c>
      <c r="L30" s="160">
        <v>166</v>
      </c>
      <c r="M30" s="138">
        <f t="shared" si="10"/>
        <v>6848</v>
      </c>
      <c r="N30" s="142">
        <f t="shared" si="11"/>
        <v>777</v>
      </c>
      <c r="O30" s="161">
        <v>562</v>
      </c>
      <c r="P30" s="161">
        <v>73</v>
      </c>
      <c r="Q30" s="161"/>
      <c r="R30" s="161">
        <v>142</v>
      </c>
      <c r="S30" s="161"/>
      <c r="T30" s="161">
        <v>1835</v>
      </c>
      <c r="U30" s="142">
        <v>1584</v>
      </c>
      <c r="V30" s="167">
        <v>5570</v>
      </c>
      <c r="W30" s="142"/>
      <c r="X30" s="142"/>
      <c r="Y30" s="172"/>
      <c r="Z30" s="173">
        <v>1500</v>
      </c>
      <c r="AA30" s="160">
        <v>166</v>
      </c>
      <c r="AB30" s="138"/>
      <c r="AC30" s="142"/>
      <c r="AD30" s="172"/>
      <c r="AE30" s="142">
        <f t="shared" si="12"/>
        <v>0</v>
      </c>
      <c r="AF30" s="142"/>
      <c r="AG30" s="142"/>
      <c r="AH30" s="142">
        <f t="shared" si="8"/>
        <v>0</v>
      </c>
      <c r="AI30" s="181"/>
      <c r="AJ30" s="142"/>
      <c r="AK30" s="142"/>
    </row>
    <row r="31" spans="1:37" s="98" customFormat="1" ht="24" customHeight="1">
      <c r="A31" s="139" t="s">
        <v>70</v>
      </c>
      <c r="B31" s="140">
        <v>5616</v>
      </c>
      <c r="C31" s="140">
        <f t="shared" si="9"/>
        <v>9148</v>
      </c>
      <c r="D31" s="145">
        <f t="shared" si="2"/>
        <v>3532</v>
      </c>
      <c r="E31" s="124">
        <f t="shared" si="3"/>
        <v>62.89173789173789</v>
      </c>
      <c r="F31" s="141" t="s">
        <v>58</v>
      </c>
      <c r="G31" s="144"/>
      <c r="H31" s="142">
        <f t="shared" si="7"/>
        <v>5616</v>
      </c>
      <c r="I31" s="158"/>
      <c r="J31" s="142">
        <v>0</v>
      </c>
      <c r="K31" s="159"/>
      <c r="L31" s="160">
        <v>5616</v>
      </c>
      <c r="M31" s="138">
        <f t="shared" si="10"/>
        <v>9148</v>
      </c>
      <c r="N31" s="142">
        <f t="shared" si="11"/>
        <v>0</v>
      </c>
      <c r="O31" s="161"/>
      <c r="P31" s="161"/>
      <c r="Q31" s="161"/>
      <c r="R31" s="161"/>
      <c r="S31" s="161"/>
      <c r="T31" s="161">
        <v>202</v>
      </c>
      <c r="U31" s="142"/>
      <c r="V31" s="167">
        <v>3330</v>
      </c>
      <c r="W31" s="142"/>
      <c r="X31" s="142"/>
      <c r="Y31" s="172"/>
      <c r="Z31" s="173"/>
      <c r="AA31" s="160">
        <v>5616</v>
      </c>
      <c r="AB31" s="138"/>
      <c r="AC31" s="142"/>
      <c r="AD31" s="172"/>
      <c r="AE31" s="142">
        <f t="shared" si="12"/>
        <v>0</v>
      </c>
      <c r="AF31" s="142"/>
      <c r="AG31" s="142"/>
      <c r="AH31" s="142">
        <f t="shared" si="8"/>
        <v>0</v>
      </c>
      <c r="AI31" s="181"/>
      <c r="AJ31" s="142"/>
      <c r="AK31" s="142"/>
    </row>
    <row r="32" spans="1:37" s="98" customFormat="1" ht="24" customHeight="1">
      <c r="A32" s="139" t="s">
        <v>71</v>
      </c>
      <c r="B32" s="140">
        <v>113</v>
      </c>
      <c r="C32" s="140">
        <f t="shared" si="9"/>
        <v>179</v>
      </c>
      <c r="D32" s="145">
        <f t="shared" si="2"/>
        <v>66</v>
      </c>
      <c r="E32" s="124">
        <f t="shared" si="3"/>
        <v>58.4070796460177</v>
      </c>
      <c r="F32" s="141" t="s">
        <v>58</v>
      </c>
      <c r="G32" s="144"/>
      <c r="H32" s="142">
        <f t="shared" si="7"/>
        <v>113</v>
      </c>
      <c r="I32" s="158">
        <v>91</v>
      </c>
      <c r="J32" s="142">
        <v>22</v>
      </c>
      <c r="K32" s="159"/>
      <c r="L32" s="160">
        <v>0</v>
      </c>
      <c r="M32" s="138">
        <f t="shared" si="10"/>
        <v>179</v>
      </c>
      <c r="N32" s="142">
        <f t="shared" si="11"/>
        <v>153</v>
      </c>
      <c r="O32" s="161">
        <v>112</v>
      </c>
      <c r="P32" s="161">
        <v>13</v>
      </c>
      <c r="Q32" s="161"/>
      <c r="R32" s="161">
        <v>28</v>
      </c>
      <c r="S32" s="161"/>
      <c r="T32" s="161">
        <v>26</v>
      </c>
      <c r="U32" s="142">
        <v>1</v>
      </c>
      <c r="V32" s="167"/>
      <c r="W32" s="142"/>
      <c r="X32" s="142"/>
      <c r="Y32" s="172"/>
      <c r="Z32" s="173"/>
      <c r="AA32" s="160">
        <v>0</v>
      </c>
      <c r="AB32" s="138"/>
      <c r="AC32" s="142"/>
      <c r="AD32" s="172"/>
      <c r="AE32" s="142">
        <f t="shared" si="12"/>
        <v>0</v>
      </c>
      <c r="AF32" s="142"/>
      <c r="AG32" s="142"/>
      <c r="AH32" s="142">
        <f t="shared" si="8"/>
        <v>0</v>
      </c>
      <c r="AI32" s="181"/>
      <c r="AJ32" s="142"/>
      <c r="AK32" s="142"/>
    </row>
    <row r="33" spans="1:37" ht="24" customHeight="1">
      <c r="A33" s="139" t="s">
        <v>72</v>
      </c>
      <c r="B33" s="140">
        <v>2007</v>
      </c>
      <c r="C33" s="140">
        <f t="shared" si="9"/>
        <v>2008</v>
      </c>
      <c r="D33" s="145">
        <f t="shared" si="2"/>
        <v>1</v>
      </c>
      <c r="E33" s="124">
        <f t="shared" si="3"/>
        <v>0.04982561036372695</v>
      </c>
      <c r="F33" s="141"/>
      <c r="G33" s="144"/>
      <c r="H33" s="142">
        <f t="shared" si="7"/>
        <v>2007</v>
      </c>
      <c r="I33" s="158"/>
      <c r="J33" s="142">
        <v>0</v>
      </c>
      <c r="K33" s="159"/>
      <c r="L33" s="160">
        <v>2007</v>
      </c>
      <c r="M33" s="138">
        <f t="shared" si="10"/>
        <v>2008</v>
      </c>
      <c r="N33" s="142">
        <f t="shared" si="11"/>
        <v>0</v>
      </c>
      <c r="O33" s="161"/>
      <c r="P33" s="161"/>
      <c r="Q33" s="161"/>
      <c r="R33" s="161"/>
      <c r="S33" s="161"/>
      <c r="T33" s="161">
        <v>1</v>
      </c>
      <c r="U33" s="142">
        <v>1</v>
      </c>
      <c r="V33" s="167"/>
      <c r="W33" s="142"/>
      <c r="X33" s="142"/>
      <c r="Y33" s="172"/>
      <c r="Z33" s="173"/>
      <c r="AA33" s="160">
        <v>2007</v>
      </c>
      <c r="AB33" s="138"/>
      <c r="AC33" s="142"/>
      <c r="AD33" s="172"/>
      <c r="AE33" s="142">
        <f t="shared" si="12"/>
        <v>0</v>
      </c>
      <c r="AF33" s="142"/>
      <c r="AG33" s="142"/>
      <c r="AH33" s="142">
        <f t="shared" si="8"/>
        <v>0</v>
      </c>
      <c r="AI33" s="181"/>
      <c r="AJ33" s="142"/>
      <c r="AK33" s="142"/>
    </row>
    <row r="34" spans="1:37" ht="24" customHeight="1">
      <c r="A34" s="139" t="s">
        <v>73</v>
      </c>
      <c r="B34" s="140">
        <v>2770</v>
      </c>
      <c r="C34" s="140">
        <f t="shared" si="9"/>
        <v>4752</v>
      </c>
      <c r="D34" s="145">
        <f t="shared" si="2"/>
        <v>1982</v>
      </c>
      <c r="E34" s="124">
        <f t="shared" si="3"/>
        <v>71.5523465703971</v>
      </c>
      <c r="F34" s="141" t="s">
        <v>58</v>
      </c>
      <c r="G34" s="144"/>
      <c r="H34" s="142">
        <f t="shared" si="7"/>
        <v>2770</v>
      </c>
      <c r="I34" s="158">
        <v>898</v>
      </c>
      <c r="J34" s="142">
        <v>300</v>
      </c>
      <c r="K34" s="159">
        <v>126</v>
      </c>
      <c r="L34" s="160">
        <v>1446</v>
      </c>
      <c r="M34" s="138">
        <f t="shared" si="10"/>
        <v>4752</v>
      </c>
      <c r="N34" s="142">
        <f t="shared" si="11"/>
        <v>1128</v>
      </c>
      <c r="O34" s="161">
        <v>822</v>
      </c>
      <c r="P34" s="161">
        <v>114</v>
      </c>
      <c r="Q34" s="161"/>
      <c r="R34" s="161">
        <v>192</v>
      </c>
      <c r="S34" s="161"/>
      <c r="T34" s="161">
        <v>7125</v>
      </c>
      <c r="U34" s="142">
        <v>6959</v>
      </c>
      <c r="V34" s="167">
        <v>2053</v>
      </c>
      <c r="W34" s="142"/>
      <c r="X34" s="142"/>
      <c r="Y34" s="172"/>
      <c r="Z34" s="173">
        <v>7000</v>
      </c>
      <c r="AA34" s="160">
        <v>1446</v>
      </c>
      <c r="AB34" s="138"/>
      <c r="AC34" s="142"/>
      <c r="AD34" s="172"/>
      <c r="AE34" s="142">
        <f t="shared" si="12"/>
        <v>0</v>
      </c>
      <c r="AF34" s="142"/>
      <c r="AG34" s="142"/>
      <c r="AH34" s="142">
        <f t="shared" si="8"/>
        <v>0</v>
      </c>
      <c r="AI34" s="181"/>
      <c r="AJ34" s="142"/>
      <c r="AK34" s="142"/>
    </row>
    <row r="35" spans="1:37" ht="24" customHeight="1">
      <c r="A35" s="139" t="s">
        <v>74</v>
      </c>
      <c r="B35" s="140">
        <v>12463</v>
      </c>
      <c r="C35" s="140">
        <f t="shared" si="9"/>
        <v>16723</v>
      </c>
      <c r="D35" s="145">
        <f t="shared" si="2"/>
        <v>4260</v>
      </c>
      <c r="E35" s="124">
        <f t="shared" si="3"/>
        <v>34.18117628179411</v>
      </c>
      <c r="F35" s="141" t="s">
        <v>58</v>
      </c>
      <c r="G35" s="144"/>
      <c r="H35" s="142">
        <f t="shared" si="7"/>
        <v>12463</v>
      </c>
      <c r="I35" s="158">
        <v>8240</v>
      </c>
      <c r="J35" s="142">
        <v>148</v>
      </c>
      <c r="K35" s="159">
        <v>3308</v>
      </c>
      <c r="L35" s="160">
        <v>767</v>
      </c>
      <c r="M35" s="138">
        <f t="shared" si="10"/>
        <v>16723</v>
      </c>
      <c r="N35" s="142">
        <f t="shared" si="11"/>
        <v>8264</v>
      </c>
      <c r="O35" s="161">
        <v>8228</v>
      </c>
      <c r="P35" s="161">
        <v>8</v>
      </c>
      <c r="Q35" s="161"/>
      <c r="R35" s="161">
        <v>28</v>
      </c>
      <c r="S35" s="161"/>
      <c r="T35" s="161">
        <v>163</v>
      </c>
      <c r="U35" s="142">
        <v>115</v>
      </c>
      <c r="V35" s="167">
        <v>7529</v>
      </c>
      <c r="W35" s="142"/>
      <c r="X35" s="142"/>
      <c r="Y35" s="172"/>
      <c r="Z35" s="173"/>
      <c r="AA35" s="160">
        <v>767</v>
      </c>
      <c r="AB35" s="138"/>
      <c r="AC35" s="142"/>
      <c r="AD35" s="172"/>
      <c r="AE35" s="142">
        <f t="shared" si="12"/>
        <v>0</v>
      </c>
      <c r="AF35" s="142"/>
      <c r="AG35" s="142"/>
      <c r="AH35" s="142">
        <f t="shared" si="8"/>
        <v>0</v>
      </c>
      <c r="AI35" s="181"/>
      <c r="AJ35" s="142"/>
      <c r="AK35" s="142"/>
    </row>
    <row r="36" spans="1:37" ht="24" customHeight="1">
      <c r="A36" s="139" t="s">
        <v>75</v>
      </c>
      <c r="B36" s="140">
        <v>332</v>
      </c>
      <c r="C36" s="140">
        <f t="shared" si="9"/>
        <v>332</v>
      </c>
      <c r="D36" s="145">
        <f t="shared" si="2"/>
        <v>0</v>
      </c>
      <c r="E36" s="124">
        <f t="shared" si="3"/>
        <v>0</v>
      </c>
      <c r="F36" s="141"/>
      <c r="G36" s="144"/>
      <c r="H36" s="142">
        <f t="shared" si="7"/>
        <v>332</v>
      </c>
      <c r="I36" s="158"/>
      <c r="J36" s="142">
        <v>0</v>
      </c>
      <c r="K36" s="159">
        <v>17</v>
      </c>
      <c r="L36" s="160">
        <v>315</v>
      </c>
      <c r="M36" s="138">
        <f t="shared" si="10"/>
        <v>332</v>
      </c>
      <c r="N36" s="142">
        <f t="shared" si="11"/>
        <v>0</v>
      </c>
      <c r="O36" s="161"/>
      <c r="P36" s="161"/>
      <c r="Q36" s="161"/>
      <c r="R36" s="161"/>
      <c r="S36" s="161"/>
      <c r="T36" s="161"/>
      <c r="U36" s="142"/>
      <c r="V36" s="167">
        <v>17</v>
      </c>
      <c r="W36" s="142"/>
      <c r="X36" s="142"/>
      <c r="Y36" s="172"/>
      <c r="Z36" s="173"/>
      <c r="AA36" s="160">
        <v>315</v>
      </c>
      <c r="AB36" s="138"/>
      <c r="AC36" s="142"/>
      <c r="AD36" s="172"/>
      <c r="AE36" s="142">
        <f t="shared" si="12"/>
        <v>0</v>
      </c>
      <c r="AF36" s="142"/>
      <c r="AG36" s="142"/>
      <c r="AH36" s="142">
        <f t="shared" si="8"/>
        <v>0</v>
      </c>
      <c r="AI36" s="181"/>
      <c r="AJ36" s="142"/>
      <c r="AK36" s="142"/>
    </row>
    <row r="37" spans="1:37" ht="24" customHeight="1">
      <c r="A37" s="139" t="s">
        <v>76</v>
      </c>
      <c r="B37" s="140">
        <v>2597</v>
      </c>
      <c r="C37" s="140">
        <f t="shared" si="9"/>
        <v>4365</v>
      </c>
      <c r="D37" s="145">
        <f t="shared" si="2"/>
        <v>1768</v>
      </c>
      <c r="E37" s="124">
        <f t="shared" si="3"/>
        <v>68.07855217558722</v>
      </c>
      <c r="F37" s="141" t="s">
        <v>58</v>
      </c>
      <c r="G37" s="144"/>
      <c r="H37" s="142">
        <f t="shared" si="7"/>
        <v>2597</v>
      </c>
      <c r="I37" s="158">
        <v>827</v>
      </c>
      <c r="J37" s="142">
        <v>1152</v>
      </c>
      <c r="K37" s="158">
        <f>303+300</f>
        <v>603</v>
      </c>
      <c r="L37" s="160">
        <v>15</v>
      </c>
      <c r="M37" s="138">
        <f t="shared" si="10"/>
        <v>4365</v>
      </c>
      <c r="N37" s="142">
        <f t="shared" si="11"/>
        <v>924</v>
      </c>
      <c r="O37" s="161">
        <v>694</v>
      </c>
      <c r="P37" s="161">
        <v>94</v>
      </c>
      <c r="Q37" s="161"/>
      <c r="R37" s="161">
        <v>136</v>
      </c>
      <c r="S37" s="161"/>
      <c r="T37" s="161">
        <v>1430</v>
      </c>
      <c r="U37" s="142">
        <v>834</v>
      </c>
      <c r="V37" s="167">
        <v>2996</v>
      </c>
      <c r="W37" s="142"/>
      <c r="X37" s="142"/>
      <c r="Y37" s="172"/>
      <c r="Z37" s="173">
        <v>1000</v>
      </c>
      <c r="AA37" s="160">
        <v>15</v>
      </c>
      <c r="AB37" s="138"/>
      <c r="AC37" s="142"/>
      <c r="AD37" s="172"/>
      <c r="AE37" s="142">
        <f t="shared" si="12"/>
        <v>0</v>
      </c>
      <c r="AF37" s="142"/>
      <c r="AG37" s="142"/>
      <c r="AH37" s="142">
        <f t="shared" si="8"/>
        <v>0</v>
      </c>
      <c r="AI37" s="181"/>
      <c r="AJ37" s="142"/>
      <c r="AK37" s="142"/>
    </row>
    <row r="38" spans="1:37" ht="24" customHeight="1">
      <c r="A38" s="139" t="s">
        <v>77</v>
      </c>
      <c r="B38" s="140">
        <v>1690</v>
      </c>
      <c r="C38" s="140">
        <f t="shared" si="9"/>
        <v>0</v>
      </c>
      <c r="D38" s="122">
        <f t="shared" si="2"/>
        <v>-1690</v>
      </c>
      <c r="E38" s="124">
        <f t="shared" si="3"/>
        <v>-100</v>
      </c>
      <c r="F38" s="141" t="s">
        <v>78</v>
      </c>
      <c r="G38" s="144"/>
      <c r="H38" s="142">
        <f t="shared" si="7"/>
        <v>1690</v>
      </c>
      <c r="I38" s="158"/>
      <c r="J38" s="142">
        <v>1690</v>
      </c>
      <c r="K38" s="158"/>
      <c r="L38" s="142"/>
      <c r="M38" s="138">
        <f t="shared" si="10"/>
        <v>0</v>
      </c>
      <c r="N38" s="142">
        <f t="shared" si="11"/>
        <v>0</v>
      </c>
      <c r="O38" s="161"/>
      <c r="P38" s="161"/>
      <c r="Q38" s="161"/>
      <c r="R38" s="161"/>
      <c r="S38" s="161"/>
      <c r="T38" s="161"/>
      <c r="U38" s="142"/>
      <c r="V38" s="167"/>
      <c r="W38" s="142"/>
      <c r="X38" s="142"/>
      <c r="Y38" s="172"/>
      <c r="Z38" s="173"/>
      <c r="AA38" s="142"/>
      <c r="AB38" s="138"/>
      <c r="AC38" s="142"/>
      <c r="AD38" s="172"/>
      <c r="AE38" s="142">
        <f t="shared" si="12"/>
        <v>0</v>
      </c>
      <c r="AF38" s="142"/>
      <c r="AG38" s="142"/>
      <c r="AH38" s="142">
        <f t="shared" si="8"/>
        <v>0</v>
      </c>
      <c r="AI38" s="181"/>
      <c r="AJ38" s="142"/>
      <c r="AK38" s="142"/>
    </row>
    <row r="39" spans="1:37" ht="24" customHeight="1">
      <c r="A39" s="139" t="s">
        <v>79</v>
      </c>
      <c r="B39" s="140">
        <v>7812</v>
      </c>
      <c r="C39" s="140">
        <f t="shared" si="9"/>
        <v>4877</v>
      </c>
      <c r="D39" s="122">
        <f t="shared" si="2"/>
        <v>-2935</v>
      </c>
      <c r="E39" s="124">
        <f t="shared" si="3"/>
        <v>-37.570404505888376</v>
      </c>
      <c r="F39" s="141" t="s">
        <v>80</v>
      </c>
      <c r="G39" s="144"/>
      <c r="H39" s="142">
        <f t="shared" si="7"/>
        <v>7812</v>
      </c>
      <c r="I39" s="158"/>
      <c r="J39" s="142">
        <v>7029</v>
      </c>
      <c r="K39" s="158">
        <v>693</v>
      </c>
      <c r="L39" s="142">
        <v>90</v>
      </c>
      <c r="M39" s="138">
        <f t="shared" si="10"/>
        <v>4877</v>
      </c>
      <c r="N39" s="142">
        <f t="shared" si="11"/>
        <v>0</v>
      </c>
      <c r="O39" s="161"/>
      <c r="P39" s="161"/>
      <c r="Q39" s="161"/>
      <c r="R39" s="161"/>
      <c r="S39" s="161"/>
      <c r="T39" s="161"/>
      <c r="U39" s="142">
        <v>15</v>
      </c>
      <c r="V39" s="167">
        <f>4007+780</f>
        <v>4787</v>
      </c>
      <c r="W39" s="142"/>
      <c r="X39" s="142"/>
      <c r="Y39" s="172"/>
      <c r="Z39" s="173"/>
      <c r="AA39" s="142">
        <v>90</v>
      </c>
      <c r="AB39" s="138"/>
      <c r="AC39" s="142"/>
      <c r="AD39" s="172"/>
      <c r="AE39" s="142">
        <f t="shared" si="12"/>
        <v>0</v>
      </c>
      <c r="AF39" s="142"/>
      <c r="AG39" s="142"/>
      <c r="AH39" s="142">
        <f t="shared" si="8"/>
        <v>0</v>
      </c>
      <c r="AI39" s="181"/>
      <c r="AJ39" s="142"/>
      <c r="AK39" s="142"/>
    </row>
    <row r="40" spans="1:37" ht="24" customHeight="1">
      <c r="A40" s="139" t="s">
        <v>81</v>
      </c>
      <c r="B40" s="140">
        <v>2855</v>
      </c>
      <c r="C40" s="140">
        <f t="shared" si="9"/>
        <v>2832</v>
      </c>
      <c r="D40" s="122">
        <f t="shared" si="2"/>
        <v>-23</v>
      </c>
      <c r="E40" s="124">
        <f t="shared" si="3"/>
        <v>-0.8056042031523643</v>
      </c>
      <c r="F40" s="144"/>
      <c r="G40" s="144"/>
      <c r="H40" s="142">
        <f t="shared" si="7"/>
        <v>2855</v>
      </c>
      <c r="I40" s="158"/>
      <c r="J40" s="142">
        <v>2855</v>
      </c>
      <c r="K40" s="158"/>
      <c r="L40" s="142"/>
      <c r="M40" s="138">
        <f t="shared" si="10"/>
        <v>2832</v>
      </c>
      <c r="N40" s="142">
        <f t="shared" si="11"/>
        <v>0</v>
      </c>
      <c r="O40" s="161"/>
      <c r="P40" s="161"/>
      <c r="Q40" s="161"/>
      <c r="R40" s="161"/>
      <c r="S40" s="161"/>
      <c r="T40" s="161">
        <f>1763+608+164</f>
        <v>2535</v>
      </c>
      <c r="U40" s="142">
        <v>1763</v>
      </c>
      <c r="V40" s="167">
        <v>297</v>
      </c>
      <c r="W40" s="142"/>
      <c r="X40" s="142"/>
      <c r="Y40" s="172"/>
      <c r="Z40" s="172"/>
      <c r="AA40" s="142"/>
      <c r="AB40" s="138"/>
      <c r="AC40" s="142"/>
      <c r="AD40" s="172"/>
      <c r="AE40" s="142">
        <f t="shared" si="12"/>
        <v>0</v>
      </c>
      <c r="AF40" s="142"/>
      <c r="AG40" s="142"/>
      <c r="AH40" s="142">
        <f t="shared" si="8"/>
        <v>0</v>
      </c>
      <c r="AI40" s="181"/>
      <c r="AJ40" s="142"/>
      <c r="AK40" s="142"/>
    </row>
    <row r="41" spans="1:7" ht="24">
      <c r="A41" s="120" t="s">
        <v>82</v>
      </c>
      <c r="B41" s="140">
        <v>3914</v>
      </c>
      <c r="C41" s="140">
        <v>8014</v>
      </c>
      <c r="D41" s="115">
        <f t="shared" si="2"/>
        <v>4100</v>
      </c>
      <c r="E41" s="116">
        <f t="shared" si="3"/>
        <v>104.75217169136432</v>
      </c>
      <c r="F41" s="121" t="s">
        <v>83</v>
      </c>
      <c r="G41" s="121" t="s">
        <v>84</v>
      </c>
    </row>
    <row r="42" spans="1:7" ht="14.25">
      <c r="A42" s="120" t="s">
        <v>85</v>
      </c>
      <c r="B42" s="140">
        <v>0</v>
      </c>
      <c r="C42" s="115">
        <v>0</v>
      </c>
      <c r="D42" s="115">
        <f t="shared" si="2"/>
        <v>0</v>
      </c>
      <c r="E42" s="116">
        <v>0</v>
      </c>
      <c r="F42" s="121"/>
      <c r="G42" s="98"/>
    </row>
    <row r="43" spans="1:7" ht="14.25">
      <c r="A43" s="120" t="s">
        <v>86</v>
      </c>
      <c r="B43" s="140">
        <v>0</v>
      </c>
      <c r="C43" s="140">
        <v>14600</v>
      </c>
      <c r="D43" s="115">
        <f t="shared" si="2"/>
        <v>14600</v>
      </c>
      <c r="E43" s="116">
        <v>0</v>
      </c>
      <c r="F43" s="121" t="s">
        <v>87</v>
      </c>
      <c r="G43" s="121" t="s">
        <v>88</v>
      </c>
    </row>
    <row r="44" spans="1:7" ht="14.25">
      <c r="A44" s="146"/>
      <c r="B44" s="147"/>
      <c r="C44" s="147"/>
      <c r="D44" s="122"/>
      <c r="E44" s="148"/>
      <c r="F44" s="121"/>
      <c r="G44" s="98"/>
    </row>
    <row r="45" spans="1:7" ht="14.25">
      <c r="A45" s="117" t="s">
        <v>89</v>
      </c>
      <c r="B45" s="149">
        <f>B7-B17</f>
        <v>0</v>
      </c>
      <c r="C45" s="150">
        <f>C7-C17</f>
        <v>0</v>
      </c>
      <c r="D45" s="115">
        <f>C45-B45</f>
        <v>0</v>
      </c>
      <c r="E45" s="116">
        <v>0</v>
      </c>
      <c r="F45" s="121"/>
      <c r="G45" s="98"/>
    </row>
  </sheetData>
  <sheetProtection/>
  <mergeCells count="11">
    <mergeCell ref="D5:E5"/>
    <mergeCell ref="H16:L16"/>
    <mergeCell ref="M16:AA16"/>
    <mergeCell ref="AB16:AH16"/>
    <mergeCell ref="A5:A6"/>
    <mergeCell ref="B5:B6"/>
    <mergeCell ref="C5:C6"/>
    <mergeCell ref="F5:F6"/>
    <mergeCell ref="G5:G6"/>
    <mergeCell ref="G17:G20"/>
    <mergeCell ref="A2:F3"/>
  </mergeCells>
  <printOptions horizontalCentered="1"/>
  <pageMargins left="0.275" right="0.15694444444444444" top="0.4722222222222222" bottom="0.4722222222222222" header="0.15694444444444444" footer="0.3145833333333333"/>
  <pageSetup firstPageNumber="12" useFirstPageNumber="1" horizontalDpi="600" verticalDpi="600" orientation="landscape" paperSize="9" scale="80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pane xSplit="1" ySplit="6" topLeftCell="B30" activePane="bottomRight" state="frozen"/>
      <selection pane="bottomRight" activeCell="E45" sqref="E45"/>
    </sheetView>
  </sheetViews>
  <sheetFormatPr defaultColWidth="9.00390625" defaultRowHeight="14.25"/>
  <cols>
    <col min="1" max="1" width="42.375" style="0" customWidth="1"/>
    <col min="2" max="2" width="13.00390625" style="0" customWidth="1"/>
    <col min="3" max="3" width="10.375" style="0" customWidth="1"/>
    <col min="4" max="4" width="11.50390625" style="0" customWidth="1"/>
    <col min="5" max="5" width="13.00390625" style="0" customWidth="1"/>
    <col min="6" max="6" width="48.00390625" style="0" customWidth="1"/>
    <col min="8" max="8" width="9.00390625" style="0" hidden="1" customWidth="1"/>
  </cols>
  <sheetData>
    <row r="1" ht="14.25">
      <c r="A1" s="65" t="s">
        <v>90</v>
      </c>
    </row>
    <row r="2" spans="1:6" ht="11.25" customHeight="1">
      <c r="A2" s="66" t="s">
        <v>91</v>
      </c>
      <c r="B2" s="66"/>
      <c r="C2" s="66"/>
      <c r="D2" s="66"/>
      <c r="E2" s="66"/>
      <c r="F2" s="66"/>
    </row>
    <row r="3" spans="1:6" ht="11.25" customHeight="1">
      <c r="A3" s="66"/>
      <c r="B3" s="66"/>
      <c r="C3" s="66"/>
      <c r="D3" s="66"/>
      <c r="E3" s="66"/>
      <c r="F3" s="66"/>
    </row>
    <row r="4" spans="1:6" ht="14.25">
      <c r="A4" s="67"/>
      <c r="B4" s="68"/>
      <c r="C4" s="67"/>
      <c r="D4" s="69"/>
      <c r="E4" s="69"/>
      <c r="F4" s="70" t="s">
        <v>2</v>
      </c>
    </row>
    <row r="5" spans="1:6" s="63" customFormat="1" ht="28.5" customHeight="1">
      <c r="A5" s="71" t="s">
        <v>3</v>
      </c>
      <c r="B5" s="71" t="s">
        <v>4</v>
      </c>
      <c r="C5" s="71" t="s">
        <v>5</v>
      </c>
      <c r="D5" s="72" t="s">
        <v>6</v>
      </c>
      <c r="E5" s="72"/>
      <c r="F5" s="72" t="s">
        <v>7</v>
      </c>
    </row>
    <row r="6" spans="1:8" s="63" customFormat="1" ht="28.5" customHeight="1">
      <c r="A6" s="73"/>
      <c r="B6" s="73"/>
      <c r="C6" s="73"/>
      <c r="D6" s="72" t="s">
        <v>9</v>
      </c>
      <c r="E6" s="72" t="s">
        <v>10</v>
      </c>
      <c r="F6" s="72"/>
      <c r="H6" s="63">
        <f>C11+1653-C41-C39-326-C43</f>
        <v>22229</v>
      </c>
    </row>
    <row r="7" spans="1:6" s="63" customFormat="1" ht="24" customHeight="1">
      <c r="A7" s="74" t="s">
        <v>92</v>
      </c>
      <c r="B7" s="75">
        <f>B8+B15+B16+B17</f>
        <v>66336</v>
      </c>
      <c r="C7" s="75">
        <f>C8+C15+C16+C17</f>
        <v>126509</v>
      </c>
      <c r="D7" s="75">
        <f aca="true" t="shared" si="0" ref="D7:D13">C7-B7</f>
        <v>60173</v>
      </c>
      <c r="E7" s="76">
        <f aca="true" t="shared" si="1" ref="E7:E14">D7/B7*100</f>
        <v>90.7094187168355</v>
      </c>
      <c r="F7" s="72"/>
    </row>
    <row r="8" spans="1:6" s="64" customFormat="1" ht="24" customHeight="1">
      <c r="A8" s="77" t="s">
        <v>93</v>
      </c>
      <c r="B8" s="75">
        <f>SUM(B9:B14)</f>
        <v>41975</v>
      </c>
      <c r="C8" s="75">
        <f>SUM(C9:C14)</f>
        <v>31754</v>
      </c>
      <c r="D8" s="75">
        <f t="shared" si="0"/>
        <v>-10221</v>
      </c>
      <c r="E8" s="76">
        <f t="shared" si="1"/>
        <v>-24.35020845741513</v>
      </c>
      <c r="F8" s="78"/>
    </row>
    <row r="9" spans="1:6" s="63" customFormat="1" ht="24" customHeight="1">
      <c r="A9" s="79" t="s">
        <v>94</v>
      </c>
      <c r="B9" s="80">
        <v>2003</v>
      </c>
      <c r="C9" s="80">
        <v>734</v>
      </c>
      <c r="D9" s="81">
        <f t="shared" si="0"/>
        <v>-1269</v>
      </c>
      <c r="E9" s="82">
        <f t="shared" si="1"/>
        <v>-63.35496754867699</v>
      </c>
      <c r="F9" s="83" t="s">
        <v>95</v>
      </c>
    </row>
    <row r="10" spans="1:6" s="63" customFormat="1" ht="24" customHeight="1">
      <c r="A10" s="79" t="s">
        <v>96</v>
      </c>
      <c r="B10" s="80">
        <v>303</v>
      </c>
      <c r="C10" s="80">
        <v>37</v>
      </c>
      <c r="D10" s="81">
        <f t="shared" si="0"/>
        <v>-266</v>
      </c>
      <c r="E10" s="82">
        <f t="shared" si="1"/>
        <v>-87.78877887788778</v>
      </c>
      <c r="F10" s="83" t="s">
        <v>95</v>
      </c>
    </row>
    <row r="11" spans="1:6" s="63" customFormat="1" ht="24" customHeight="1">
      <c r="A11" s="79" t="s">
        <v>97</v>
      </c>
      <c r="B11" s="80">
        <v>38070</v>
      </c>
      <c r="C11" s="80">
        <v>29829</v>
      </c>
      <c r="D11" s="81">
        <f t="shared" si="0"/>
        <v>-8241</v>
      </c>
      <c r="E11" s="82">
        <f t="shared" si="1"/>
        <v>-21.64696611505122</v>
      </c>
      <c r="F11" s="83" t="s">
        <v>98</v>
      </c>
    </row>
    <row r="12" spans="1:6" s="63" customFormat="1" ht="24" customHeight="1">
      <c r="A12" s="79" t="s">
        <v>99</v>
      </c>
      <c r="B12" s="80">
        <v>475</v>
      </c>
      <c r="C12" s="80">
        <v>30</v>
      </c>
      <c r="D12" s="81">
        <f t="shared" si="0"/>
        <v>-445</v>
      </c>
      <c r="E12" s="82">
        <f t="shared" si="1"/>
        <v>-93.6842105263158</v>
      </c>
      <c r="F12" s="83" t="s">
        <v>100</v>
      </c>
    </row>
    <row r="13" spans="1:6" s="63" customFormat="1" ht="24" customHeight="1">
      <c r="A13" s="79" t="s">
        <v>101</v>
      </c>
      <c r="B13" s="80">
        <v>1124</v>
      </c>
      <c r="C13" s="80">
        <v>1124</v>
      </c>
      <c r="D13" s="81">
        <f t="shared" si="0"/>
        <v>0</v>
      </c>
      <c r="E13" s="84">
        <f t="shared" si="1"/>
        <v>0</v>
      </c>
      <c r="F13" s="79"/>
    </row>
    <row r="14" spans="1:6" s="63" customFormat="1" ht="24" customHeight="1">
      <c r="A14" s="79" t="s">
        <v>102</v>
      </c>
      <c r="B14" s="85">
        <v>0</v>
      </c>
      <c r="C14" s="85">
        <v>0</v>
      </c>
      <c r="D14" s="81">
        <f aca="true" t="shared" si="2" ref="D13:D42">C14-B14</f>
        <v>0</v>
      </c>
      <c r="E14" s="84">
        <v>0</v>
      </c>
      <c r="F14" s="79"/>
    </row>
    <row r="15" spans="1:6" ht="24" customHeight="1">
      <c r="A15" s="77" t="s">
        <v>103</v>
      </c>
      <c r="B15" s="75">
        <v>0</v>
      </c>
      <c r="C15" s="75">
        <v>1694</v>
      </c>
      <c r="D15" s="75">
        <f t="shared" si="2"/>
        <v>1694</v>
      </c>
      <c r="E15" s="84">
        <v>0</v>
      </c>
      <c r="F15" s="86"/>
    </row>
    <row r="16" spans="1:6" ht="24" customHeight="1">
      <c r="A16" s="77" t="s">
        <v>104</v>
      </c>
      <c r="B16" s="75">
        <v>24361</v>
      </c>
      <c r="C16" s="75">
        <v>24361</v>
      </c>
      <c r="D16" s="75">
        <f t="shared" si="2"/>
        <v>0</v>
      </c>
      <c r="E16" s="84">
        <f aca="true" t="shared" si="3" ref="E15:E44">D16/B16*100</f>
        <v>0</v>
      </c>
      <c r="F16" s="86"/>
    </row>
    <row r="17" spans="1:6" ht="24" customHeight="1">
      <c r="A17" s="77" t="s">
        <v>23</v>
      </c>
      <c r="B17" s="75">
        <v>0</v>
      </c>
      <c r="C17" s="75">
        <v>68700</v>
      </c>
      <c r="D17" s="75">
        <f t="shared" si="2"/>
        <v>68700</v>
      </c>
      <c r="E17" s="84">
        <v>0</v>
      </c>
      <c r="F17" s="86"/>
    </row>
    <row r="18" spans="1:6" ht="24" customHeight="1">
      <c r="A18" s="74" t="s">
        <v>105</v>
      </c>
      <c r="B18" s="75">
        <f>B19+B43+B42</f>
        <v>66336</v>
      </c>
      <c r="C18" s="75">
        <f>C19+C43+C42</f>
        <v>126509</v>
      </c>
      <c r="D18" s="75">
        <f t="shared" si="2"/>
        <v>60173</v>
      </c>
      <c r="E18" s="84">
        <f t="shared" si="3"/>
        <v>90.7094187168355</v>
      </c>
      <c r="F18" s="86"/>
    </row>
    <row r="19" spans="1:6" ht="24" customHeight="1">
      <c r="A19" s="77" t="s">
        <v>106</v>
      </c>
      <c r="B19" s="75">
        <f>B20+B23+B26+B32+B35+B40</f>
        <v>53670</v>
      </c>
      <c r="C19" s="75">
        <f>C20+C23+C26+C32+C35+C40+C38</f>
        <v>97027</v>
      </c>
      <c r="D19" s="75">
        <f t="shared" si="2"/>
        <v>43357</v>
      </c>
      <c r="E19" s="84">
        <f t="shared" si="3"/>
        <v>80.78442332774361</v>
      </c>
      <c r="F19" s="86"/>
    </row>
    <row r="20" spans="1:6" ht="24" customHeight="1">
      <c r="A20" s="87" t="s">
        <v>107</v>
      </c>
      <c r="B20" s="88">
        <f>B21+B22</f>
        <v>98</v>
      </c>
      <c r="C20" s="88">
        <f>C21+C22</f>
        <v>129</v>
      </c>
      <c r="D20" s="88">
        <f t="shared" si="2"/>
        <v>31</v>
      </c>
      <c r="E20" s="84">
        <f t="shared" si="3"/>
        <v>31.63265306122449</v>
      </c>
      <c r="F20" s="83"/>
    </row>
    <row r="21" spans="1:6" ht="24" customHeight="1">
      <c r="A21" s="89" t="s">
        <v>108</v>
      </c>
      <c r="B21" s="90">
        <v>54</v>
      </c>
      <c r="C21" s="90">
        <f>31+54</f>
        <v>85</v>
      </c>
      <c r="D21" s="90">
        <f t="shared" si="2"/>
        <v>31</v>
      </c>
      <c r="E21" s="84">
        <f t="shared" si="3"/>
        <v>57.407407407407405</v>
      </c>
      <c r="F21" s="83" t="s">
        <v>109</v>
      </c>
    </row>
    <row r="22" spans="1:6" ht="24" customHeight="1">
      <c r="A22" s="89" t="s">
        <v>110</v>
      </c>
      <c r="B22" s="90">
        <v>44</v>
      </c>
      <c r="C22" s="90">
        <v>44</v>
      </c>
      <c r="D22" s="90">
        <f t="shared" si="2"/>
        <v>0</v>
      </c>
      <c r="E22" s="84">
        <f t="shared" si="3"/>
        <v>0</v>
      </c>
      <c r="F22" s="83"/>
    </row>
    <row r="23" spans="1:6" ht="24" customHeight="1">
      <c r="A23" s="87" t="s">
        <v>111</v>
      </c>
      <c r="B23" s="75">
        <f>B24+B25</f>
        <v>1295</v>
      </c>
      <c r="C23" s="75">
        <f>C24+C25</f>
        <v>2647</v>
      </c>
      <c r="D23" s="75">
        <f t="shared" si="2"/>
        <v>1352</v>
      </c>
      <c r="E23" s="84">
        <f t="shared" si="3"/>
        <v>104.40154440154441</v>
      </c>
      <c r="F23" s="83"/>
    </row>
    <row r="24" spans="1:6" ht="24" customHeight="1">
      <c r="A24" s="89" t="s">
        <v>112</v>
      </c>
      <c r="B24" s="90">
        <v>1172</v>
      </c>
      <c r="C24" s="90">
        <f>1293+1172</f>
        <v>2465</v>
      </c>
      <c r="D24" s="90">
        <f t="shared" si="2"/>
        <v>1293</v>
      </c>
      <c r="E24" s="84">
        <f t="shared" si="3"/>
        <v>110.32423208191126</v>
      </c>
      <c r="F24" s="83" t="s">
        <v>109</v>
      </c>
    </row>
    <row r="25" spans="1:6" ht="24" customHeight="1">
      <c r="A25" s="89" t="s">
        <v>113</v>
      </c>
      <c r="B25" s="90">
        <v>123</v>
      </c>
      <c r="C25" s="90">
        <f>59+123</f>
        <v>182</v>
      </c>
      <c r="D25" s="90">
        <f t="shared" si="2"/>
        <v>59</v>
      </c>
      <c r="E25" s="84">
        <f t="shared" si="3"/>
        <v>47.96747967479675</v>
      </c>
      <c r="F25" s="83" t="s">
        <v>109</v>
      </c>
    </row>
    <row r="26" spans="1:6" ht="24" customHeight="1">
      <c r="A26" s="87" t="s">
        <v>114</v>
      </c>
      <c r="B26" s="88">
        <f>B27+B28+B29+B31+B30</f>
        <v>50133</v>
      </c>
      <c r="C26" s="88">
        <f>C27+C28+C29+C31+C30</f>
        <v>37005</v>
      </c>
      <c r="D26" s="75">
        <f>D27+D28+D29+D31+D30</f>
        <v>-13128</v>
      </c>
      <c r="E26" s="84">
        <f t="shared" si="3"/>
        <v>-26.1863443240979</v>
      </c>
      <c r="F26" s="83"/>
    </row>
    <row r="27" spans="1:6" ht="25.5" customHeight="1">
      <c r="A27" s="89" t="s">
        <v>115</v>
      </c>
      <c r="B27" s="90">
        <f>27882+18545</f>
        <v>46427</v>
      </c>
      <c r="C27" s="90">
        <f>15038+18545</f>
        <v>33583</v>
      </c>
      <c r="D27" s="81">
        <f t="shared" si="2"/>
        <v>-12844</v>
      </c>
      <c r="E27" s="84">
        <f t="shared" si="3"/>
        <v>-27.664936351691903</v>
      </c>
      <c r="F27" s="83" t="s">
        <v>116</v>
      </c>
    </row>
    <row r="28" spans="1:6" ht="24" customHeight="1">
      <c r="A28" s="89" t="s">
        <v>117</v>
      </c>
      <c r="B28" s="90">
        <v>0</v>
      </c>
      <c r="C28" s="90">
        <v>0</v>
      </c>
      <c r="D28" s="81">
        <f t="shared" si="2"/>
        <v>0</v>
      </c>
      <c r="E28" s="84">
        <v>0</v>
      </c>
      <c r="F28" s="83"/>
    </row>
    <row r="29" spans="1:6" ht="24" customHeight="1">
      <c r="A29" s="89" t="s">
        <v>118</v>
      </c>
      <c r="B29" s="90">
        <f>303+882</f>
        <v>1185</v>
      </c>
      <c r="C29" s="90">
        <f>20+882</f>
        <v>902</v>
      </c>
      <c r="D29" s="81">
        <f t="shared" si="2"/>
        <v>-283</v>
      </c>
      <c r="E29" s="84">
        <f t="shared" si="3"/>
        <v>-23.881856540084385</v>
      </c>
      <c r="F29" s="83" t="s">
        <v>116</v>
      </c>
    </row>
    <row r="30" spans="1:6" ht="24" customHeight="1">
      <c r="A30" s="89" t="s">
        <v>119</v>
      </c>
      <c r="B30" s="90">
        <v>207</v>
      </c>
      <c r="C30" s="90">
        <v>207</v>
      </c>
      <c r="D30" s="81">
        <f t="shared" si="2"/>
        <v>0</v>
      </c>
      <c r="E30" s="84">
        <f t="shared" si="3"/>
        <v>0</v>
      </c>
      <c r="F30" s="83"/>
    </row>
    <row r="31" spans="1:6" ht="24" customHeight="1">
      <c r="A31" s="89" t="s">
        <v>120</v>
      </c>
      <c r="B31" s="90">
        <f>1124+1190</f>
        <v>2314</v>
      </c>
      <c r="C31" s="90">
        <f>1123+1190</f>
        <v>2313</v>
      </c>
      <c r="D31" s="81">
        <f t="shared" si="2"/>
        <v>-1</v>
      </c>
      <c r="E31" s="84">
        <f t="shared" si="3"/>
        <v>-0.043215211754537596</v>
      </c>
      <c r="F31" s="83"/>
    </row>
    <row r="32" spans="1:6" ht="24" customHeight="1">
      <c r="A32" s="87" t="s">
        <v>121</v>
      </c>
      <c r="B32" s="88">
        <f>B33+B34</f>
        <v>483</v>
      </c>
      <c r="C32" s="88">
        <f>C33+C34</f>
        <v>698</v>
      </c>
      <c r="D32" s="88">
        <f t="shared" si="2"/>
        <v>215</v>
      </c>
      <c r="E32" s="84">
        <f t="shared" si="3"/>
        <v>44.51345755693582</v>
      </c>
      <c r="F32" s="83"/>
    </row>
    <row r="33" spans="1:6" ht="24" customHeight="1">
      <c r="A33" s="89" t="s">
        <v>122</v>
      </c>
      <c r="B33" s="90">
        <v>173</v>
      </c>
      <c r="C33" s="90">
        <f>135+173</f>
        <v>308</v>
      </c>
      <c r="D33" s="90">
        <f t="shared" si="2"/>
        <v>135</v>
      </c>
      <c r="E33" s="84">
        <f t="shared" si="3"/>
        <v>78.03468208092485</v>
      </c>
      <c r="F33" s="83" t="s">
        <v>109</v>
      </c>
    </row>
    <row r="34" spans="1:6" ht="24" customHeight="1">
      <c r="A34" s="89" t="s">
        <v>123</v>
      </c>
      <c r="B34" s="90">
        <v>310</v>
      </c>
      <c r="C34" s="90">
        <f>80+310</f>
        <v>390</v>
      </c>
      <c r="D34" s="90">
        <f t="shared" si="2"/>
        <v>80</v>
      </c>
      <c r="E34" s="84">
        <f t="shared" si="3"/>
        <v>25.806451612903224</v>
      </c>
      <c r="F34" s="83" t="s">
        <v>109</v>
      </c>
    </row>
    <row r="35" spans="1:6" ht="24" customHeight="1">
      <c r="A35" s="87" t="s">
        <v>124</v>
      </c>
      <c r="B35" s="88">
        <f>B36+B37</f>
        <v>1661</v>
      </c>
      <c r="C35" s="88">
        <f>C36+C37</f>
        <v>51355</v>
      </c>
      <c r="D35" s="88">
        <f t="shared" si="2"/>
        <v>49694</v>
      </c>
      <c r="E35" s="84">
        <f t="shared" si="3"/>
        <v>2991.812161348585</v>
      </c>
      <c r="F35" s="83"/>
    </row>
    <row r="36" spans="1:6" ht="24" customHeight="1">
      <c r="A36" s="89" t="s">
        <v>125</v>
      </c>
      <c r="B36" s="91">
        <v>0</v>
      </c>
      <c r="C36" s="91">
        <v>48000</v>
      </c>
      <c r="D36" s="91">
        <f t="shared" si="2"/>
        <v>48000</v>
      </c>
      <c r="E36" s="84">
        <v>0</v>
      </c>
      <c r="F36" s="83" t="s">
        <v>126</v>
      </c>
    </row>
    <row r="37" spans="1:6" ht="24" customHeight="1">
      <c r="A37" s="89" t="s">
        <v>127</v>
      </c>
      <c r="B37" s="91">
        <v>1661</v>
      </c>
      <c r="C37" s="91">
        <f>1694+1661</f>
        <v>3355</v>
      </c>
      <c r="D37" s="91">
        <f t="shared" si="2"/>
        <v>1694</v>
      </c>
      <c r="E37" s="84">
        <f t="shared" si="3"/>
        <v>101.98675496688743</v>
      </c>
      <c r="F37" s="83" t="s">
        <v>109</v>
      </c>
    </row>
    <row r="38" spans="1:6" ht="24" customHeight="1">
      <c r="A38" s="87" t="s">
        <v>128</v>
      </c>
      <c r="B38" s="91">
        <v>0</v>
      </c>
      <c r="C38" s="92">
        <f>C39</f>
        <v>5193</v>
      </c>
      <c r="D38" s="92">
        <f t="shared" si="2"/>
        <v>5193</v>
      </c>
      <c r="E38" s="84">
        <v>0</v>
      </c>
      <c r="F38" s="83"/>
    </row>
    <row r="39" spans="1:6" ht="24" customHeight="1">
      <c r="A39" s="89" t="s">
        <v>129</v>
      </c>
      <c r="B39" s="91">
        <v>0</v>
      </c>
      <c r="C39" s="91">
        <v>5193</v>
      </c>
      <c r="D39" s="91">
        <f t="shared" si="2"/>
        <v>5193</v>
      </c>
      <c r="E39" s="84">
        <v>0</v>
      </c>
      <c r="F39" s="83" t="s">
        <v>130</v>
      </c>
    </row>
    <row r="40" spans="1:6" ht="24" customHeight="1">
      <c r="A40" s="87" t="s">
        <v>131</v>
      </c>
      <c r="B40" s="92">
        <v>0</v>
      </c>
      <c r="C40" s="92">
        <v>0</v>
      </c>
      <c r="D40" s="92">
        <v>0</v>
      </c>
      <c r="E40" s="84">
        <v>0</v>
      </c>
      <c r="F40" s="83"/>
    </row>
    <row r="41" spans="1:6" ht="24" customHeight="1">
      <c r="A41" s="89" t="s">
        <v>132</v>
      </c>
      <c r="B41" s="91">
        <v>0</v>
      </c>
      <c r="C41" s="91">
        <v>0</v>
      </c>
      <c r="D41" s="91">
        <v>0</v>
      </c>
      <c r="E41" s="84">
        <v>0</v>
      </c>
      <c r="F41" s="83"/>
    </row>
    <row r="42" spans="1:6" ht="24" customHeight="1">
      <c r="A42" s="93" t="s">
        <v>133</v>
      </c>
      <c r="B42" s="91">
        <v>0</v>
      </c>
      <c r="C42" s="92">
        <v>25748</v>
      </c>
      <c r="D42" s="91">
        <v>0</v>
      </c>
      <c r="E42" s="84">
        <v>0</v>
      </c>
      <c r="F42" s="83" t="s">
        <v>134</v>
      </c>
    </row>
    <row r="43" spans="1:6" ht="24" customHeight="1">
      <c r="A43" s="93" t="s">
        <v>135</v>
      </c>
      <c r="B43" s="92">
        <v>12666</v>
      </c>
      <c r="C43" s="92">
        <v>3734</v>
      </c>
      <c r="D43" s="94">
        <f>C43-B43</f>
        <v>-8932</v>
      </c>
      <c r="E43" s="84">
        <f t="shared" si="3"/>
        <v>-70.51950102636981</v>
      </c>
      <c r="F43" s="83" t="s">
        <v>136</v>
      </c>
    </row>
    <row r="44" spans="1:6" ht="24" customHeight="1">
      <c r="A44" s="95" t="s">
        <v>137</v>
      </c>
      <c r="B44" s="96">
        <f>B7-B18</f>
        <v>0</v>
      </c>
      <c r="C44" s="96">
        <f>C7-C18</f>
        <v>0</v>
      </c>
      <c r="D44" s="96">
        <f>C44-B44</f>
        <v>0</v>
      </c>
      <c r="E44" s="97">
        <v>0</v>
      </c>
      <c r="F44" s="86"/>
    </row>
  </sheetData>
  <sheetProtection/>
  <mergeCells count="6">
    <mergeCell ref="D5:E5"/>
    <mergeCell ref="A5:A6"/>
    <mergeCell ref="B5:B6"/>
    <mergeCell ref="C5:C6"/>
    <mergeCell ref="F5:F6"/>
    <mergeCell ref="A2:F3"/>
  </mergeCells>
  <printOptions horizontalCentered="1"/>
  <pageMargins left="0.2361111111111111" right="0.19652777777777777" top="0.3145833333333333" bottom="0.35" header="0.3145833333333333" footer="0.39305555555555555"/>
  <pageSetup firstPageNumber="14" useFirstPageNumber="1" horizontalDpi="600" verticalDpi="600" orientation="landscape" paperSize="9" scale="95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U12" sqref="U12"/>
    </sheetView>
  </sheetViews>
  <sheetFormatPr defaultColWidth="9.00390625" defaultRowHeight="14.25"/>
  <cols>
    <col min="1" max="1" width="20.625" style="25" customWidth="1"/>
    <col min="2" max="2" width="9.625" style="25" customWidth="1"/>
    <col min="3" max="3" width="12.75390625" style="25" customWidth="1"/>
    <col min="4" max="4" width="9.625" style="27" customWidth="1"/>
    <col min="5" max="6" width="9.625" style="25" customWidth="1"/>
    <col min="7" max="7" width="11.375" style="25" customWidth="1"/>
    <col min="8" max="8" width="9.75390625" style="25" hidden="1" customWidth="1"/>
    <col min="9" max="9" width="4.75390625" style="25" customWidth="1"/>
    <col min="10" max="10" width="20.625" style="25" customWidth="1"/>
    <col min="11" max="12" width="9.625" style="25" customWidth="1"/>
    <col min="13" max="13" width="9.625" style="27" customWidth="1"/>
    <col min="14" max="15" width="9.625" style="25" customWidth="1"/>
    <col min="16" max="16" width="9.00390625" style="25" hidden="1" customWidth="1"/>
    <col min="17" max="16384" width="9.00390625" style="25" customWidth="1"/>
  </cols>
  <sheetData>
    <row r="1" spans="1:13" s="25" customFormat="1" ht="14.25">
      <c r="A1" s="25" t="s">
        <v>138</v>
      </c>
      <c r="D1" s="27"/>
      <c r="M1" s="27"/>
    </row>
    <row r="2" spans="1:16" s="25" customFormat="1" ht="28.5" customHeight="1">
      <c r="A2" s="28" t="s">
        <v>139</v>
      </c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9"/>
      <c r="N2" s="28"/>
      <c r="O2" s="28"/>
      <c r="P2" s="28"/>
    </row>
    <row r="3" spans="4:14" s="25" customFormat="1" ht="14.25">
      <c r="D3" s="27"/>
      <c r="L3" s="49"/>
      <c r="M3" s="50" t="s">
        <v>2</v>
      </c>
      <c r="N3" s="50"/>
    </row>
    <row r="4" spans="1:16" s="25" customFormat="1" ht="46.5" customHeight="1">
      <c r="A4" s="30" t="s">
        <v>140</v>
      </c>
      <c r="B4" s="30" t="s">
        <v>141</v>
      </c>
      <c r="C4" s="30" t="s">
        <v>142</v>
      </c>
      <c r="D4" s="31" t="s">
        <v>143</v>
      </c>
      <c r="E4" s="30" t="s">
        <v>144</v>
      </c>
      <c r="F4" s="30" t="s">
        <v>145</v>
      </c>
      <c r="G4" s="30" t="s">
        <v>10</v>
      </c>
      <c r="H4" s="30" t="s">
        <v>7</v>
      </c>
      <c r="J4" s="30" t="s">
        <v>146</v>
      </c>
      <c r="K4" s="30" t="s">
        <v>147</v>
      </c>
      <c r="L4" s="30" t="s">
        <v>148</v>
      </c>
      <c r="M4" s="31" t="s">
        <v>149</v>
      </c>
      <c r="N4" s="30" t="s">
        <v>145</v>
      </c>
      <c r="O4" s="30" t="s">
        <v>10</v>
      </c>
      <c r="P4" s="30" t="s">
        <v>7</v>
      </c>
    </row>
    <row r="5" spans="1:16" s="25" customFormat="1" ht="30" customHeight="1">
      <c r="A5" s="32" t="s">
        <v>150</v>
      </c>
      <c r="B5" s="33">
        <f>SUM(B6:B13)</f>
        <v>110.92999999999999</v>
      </c>
      <c r="C5" s="34">
        <f>SUM(C6:C13)</f>
        <v>2436.1600000000003</v>
      </c>
      <c r="D5" s="33">
        <f>SUM(D6:D13)</f>
        <v>70.69</v>
      </c>
      <c r="E5" s="33">
        <f>SUM(E6:E13)</f>
        <v>250.22000000000003</v>
      </c>
      <c r="F5" s="33">
        <f>SUM(F6:F13)</f>
        <v>179.53000000000003</v>
      </c>
      <c r="G5" s="33">
        <f aca="true" t="shared" si="0" ref="G5:G10">F5/D5*100</f>
        <v>253.96802942424674</v>
      </c>
      <c r="H5" s="35"/>
      <c r="I5" s="51"/>
      <c r="J5" s="52" t="s">
        <v>151</v>
      </c>
      <c r="K5" s="33">
        <f aca="true" t="shared" si="1" ref="K5:M5">SUM(K6:K13)</f>
        <v>0</v>
      </c>
      <c r="L5" s="33">
        <f t="shared" si="1"/>
        <v>0</v>
      </c>
      <c r="M5" s="33">
        <f t="shared" si="1"/>
        <v>0</v>
      </c>
      <c r="N5" s="33">
        <f aca="true" t="shared" si="2" ref="N5:N10">M5-L5</f>
        <v>0</v>
      </c>
      <c r="O5" s="33">
        <v>0</v>
      </c>
      <c r="P5" s="53"/>
    </row>
    <row r="6" spans="1:16" s="25" customFormat="1" ht="30" customHeight="1">
      <c r="A6" s="36" t="s">
        <v>152</v>
      </c>
      <c r="B6" s="37">
        <v>23.5</v>
      </c>
      <c r="C6" s="37">
        <v>348.85</v>
      </c>
      <c r="D6" s="37">
        <v>33.06</v>
      </c>
      <c r="E6" s="37">
        <v>34.88</v>
      </c>
      <c r="F6" s="37">
        <f aca="true" t="shared" si="3" ref="F5:F10">E6-D6</f>
        <v>1.8200000000000003</v>
      </c>
      <c r="G6" s="38">
        <f t="shared" si="0"/>
        <v>5.505142165759226</v>
      </c>
      <c r="H6" s="35"/>
      <c r="I6" s="51"/>
      <c r="J6" s="54" t="s">
        <v>152</v>
      </c>
      <c r="K6" s="38">
        <v>0</v>
      </c>
      <c r="L6" s="38">
        <v>0</v>
      </c>
      <c r="M6" s="38">
        <v>0</v>
      </c>
      <c r="N6" s="38">
        <f t="shared" si="2"/>
        <v>0</v>
      </c>
      <c r="O6" s="38">
        <v>0</v>
      </c>
      <c r="P6" s="53"/>
    </row>
    <row r="7" spans="1:18" s="26" customFormat="1" ht="30" customHeight="1">
      <c r="A7" s="36" t="s">
        <v>153</v>
      </c>
      <c r="B7" s="37">
        <v>56.97</v>
      </c>
      <c r="C7" s="37">
        <v>488.78</v>
      </c>
      <c r="D7" s="37">
        <v>24.9</v>
      </c>
      <c r="E7" s="37">
        <v>48.88</v>
      </c>
      <c r="F7" s="37">
        <f t="shared" si="3"/>
        <v>23.980000000000004</v>
      </c>
      <c r="G7" s="38">
        <f t="shared" si="0"/>
        <v>96.30522088353416</v>
      </c>
      <c r="H7" s="35"/>
      <c r="I7" s="55"/>
      <c r="J7" s="54" t="s">
        <v>153</v>
      </c>
      <c r="K7" s="38">
        <v>0</v>
      </c>
      <c r="L7" s="38">
        <v>0</v>
      </c>
      <c r="M7" s="38">
        <v>0</v>
      </c>
      <c r="N7" s="38">
        <f t="shared" si="2"/>
        <v>0</v>
      </c>
      <c r="O7" s="38">
        <v>0</v>
      </c>
      <c r="P7" s="53"/>
      <c r="R7" s="26">
        <v>0</v>
      </c>
    </row>
    <row r="8" spans="1:16" s="26" customFormat="1" ht="30" customHeight="1">
      <c r="A8" s="36" t="s">
        <v>154</v>
      </c>
      <c r="B8" s="37">
        <v>8.85</v>
      </c>
      <c r="C8" s="37">
        <v>1409.73</v>
      </c>
      <c r="D8" s="37">
        <v>10.48</v>
      </c>
      <c r="E8" s="37">
        <v>140.97</v>
      </c>
      <c r="F8" s="37">
        <f t="shared" si="3"/>
        <v>130.49</v>
      </c>
      <c r="G8" s="38">
        <f t="shared" si="0"/>
        <v>1245.1335877862596</v>
      </c>
      <c r="H8" s="35"/>
      <c r="I8" s="55"/>
      <c r="J8" s="54" t="s">
        <v>154</v>
      </c>
      <c r="K8" s="38">
        <v>0</v>
      </c>
      <c r="L8" s="38">
        <v>0</v>
      </c>
      <c r="M8" s="38">
        <v>0</v>
      </c>
      <c r="N8" s="38">
        <f t="shared" si="2"/>
        <v>0</v>
      </c>
      <c r="O8" s="38">
        <v>0</v>
      </c>
      <c r="P8" s="53"/>
    </row>
    <row r="9" spans="1:16" s="26" customFormat="1" ht="30" customHeight="1">
      <c r="A9" s="36" t="s">
        <v>155</v>
      </c>
      <c r="B9" s="37">
        <v>21.61</v>
      </c>
      <c r="C9" s="37">
        <v>254.94</v>
      </c>
      <c r="D9" s="37">
        <v>2.25</v>
      </c>
      <c r="E9" s="37">
        <v>25.49</v>
      </c>
      <c r="F9" s="37">
        <f t="shared" si="3"/>
        <v>23.24</v>
      </c>
      <c r="G9" s="38">
        <f t="shared" si="0"/>
        <v>1032.888888888889</v>
      </c>
      <c r="H9" s="35"/>
      <c r="I9" s="55"/>
      <c r="J9" s="54" t="s">
        <v>155</v>
      </c>
      <c r="K9" s="38">
        <v>0</v>
      </c>
      <c r="L9" s="38">
        <v>0</v>
      </c>
      <c r="M9" s="38">
        <v>0</v>
      </c>
      <c r="N9" s="38">
        <f t="shared" si="2"/>
        <v>0</v>
      </c>
      <c r="O9" s="38">
        <v>0</v>
      </c>
      <c r="P9" s="53"/>
    </row>
    <row r="10" spans="1:16" s="26" customFormat="1" ht="30" customHeight="1">
      <c r="A10" s="39" t="s">
        <v>156</v>
      </c>
      <c r="B10" s="37">
        <v>0</v>
      </c>
      <c r="C10" s="37">
        <v>-49.43</v>
      </c>
      <c r="D10" s="37">
        <v>0</v>
      </c>
      <c r="E10" s="37">
        <v>0</v>
      </c>
      <c r="F10" s="37">
        <f t="shared" si="3"/>
        <v>0</v>
      </c>
      <c r="G10" s="38">
        <v>0</v>
      </c>
      <c r="H10" s="35"/>
      <c r="I10" s="55"/>
      <c r="J10" s="56" t="s">
        <v>156</v>
      </c>
      <c r="K10" s="38">
        <v>0</v>
      </c>
      <c r="L10" s="38">
        <v>0</v>
      </c>
      <c r="M10" s="38">
        <v>0</v>
      </c>
      <c r="N10" s="38">
        <f t="shared" si="2"/>
        <v>0</v>
      </c>
      <c r="O10" s="38">
        <v>0</v>
      </c>
      <c r="P10" s="53"/>
    </row>
    <row r="11" spans="1:16" s="26" customFormat="1" ht="30" customHeight="1">
      <c r="A11" s="40" t="s">
        <v>157</v>
      </c>
      <c r="B11" s="37">
        <v>0</v>
      </c>
      <c r="C11" s="37">
        <v>-16.71</v>
      </c>
      <c r="D11" s="37">
        <v>0</v>
      </c>
      <c r="E11" s="37">
        <v>0</v>
      </c>
      <c r="F11" s="37">
        <v>0</v>
      </c>
      <c r="G11" s="37">
        <v>0</v>
      </c>
      <c r="H11" s="35"/>
      <c r="I11" s="55"/>
      <c r="J11" s="57"/>
      <c r="K11" s="38"/>
      <c r="L11" s="38"/>
      <c r="M11" s="38"/>
      <c r="N11" s="38"/>
      <c r="O11" s="33"/>
      <c r="P11" s="53"/>
    </row>
    <row r="12" spans="1:16" s="26" customFormat="1" ht="30" customHeight="1">
      <c r="A12" s="41"/>
      <c r="B12" s="37"/>
      <c r="C12" s="37"/>
      <c r="D12" s="42"/>
      <c r="E12" s="37"/>
      <c r="F12" s="37"/>
      <c r="G12" s="37"/>
      <c r="H12" s="35"/>
      <c r="I12" s="55"/>
      <c r="J12" s="58"/>
      <c r="K12" s="33"/>
      <c r="L12" s="33"/>
      <c r="M12" s="33"/>
      <c r="N12" s="33"/>
      <c r="O12" s="33"/>
      <c r="P12" s="53"/>
    </row>
    <row r="13" spans="1:16" s="26" customFormat="1" ht="30" customHeight="1">
      <c r="A13" s="40"/>
      <c r="B13" s="37"/>
      <c r="C13" s="37"/>
      <c r="D13" s="42"/>
      <c r="E13" s="37"/>
      <c r="F13" s="37"/>
      <c r="G13" s="37"/>
      <c r="H13" s="35"/>
      <c r="I13" s="55"/>
      <c r="J13" s="57"/>
      <c r="K13" s="33"/>
      <c r="L13" s="33"/>
      <c r="M13" s="33"/>
      <c r="N13" s="33"/>
      <c r="O13" s="33"/>
      <c r="P13" s="53"/>
    </row>
    <row r="14" spans="1:16" s="26" customFormat="1" ht="28.5" customHeight="1">
      <c r="A14" s="32" t="s">
        <v>158</v>
      </c>
      <c r="B14" s="33">
        <v>28.09</v>
      </c>
      <c r="C14" s="33">
        <v>0</v>
      </c>
      <c r="D14" s="33">
        <v>37.98</v>
      </c>
      <c r="E14" s="33">
        <v>37.98</v>
      </c>
      <c r="F14" s="33">
        <f>E14-D14</f>
        <v>0</v>
      </c>
      <c r="G14" s="33">
        <f>F14/D14</f>
        <v>0</v>
      </c>
      <c r="H14" s="35"/>
      <c r="I14" s="55"/>
      <c r="J14" s="59" t="s">
        <v>158</v>
      </c>
      <c r="K14" s="33">
        <v>0</v>
      </c>
      <c r="L14" s="33">
        <v>37.98</v>
      </c>
      <c r="M14" s="33">
        <v>37.98</v>
      </c>
      <c r="N14" s="33">
        <f aca="true" t="shared" si="4" ref="N14:N16">M14-L14</f>
        <v>0</v>
      </c>
      <c r="O14" s="33">
        <f>N14/L14*100</f>
        <v>0</v>
      </c>
      <c r="P14" s="53"/>
    </row>
    <row r="15" spans="1:16" s="26" customFormat="1" ht="27" customHeight="1">
      <c r="A15" s="43" t="s">
        <v>159</v>
      </c>
      <c r="B15" s="44">
        <v>11.89</v>
      </c>
      <c r="C15" s="44">
        <v>0</v>
      </c>
      <c r="D15" s="45">
        <v>11.72</v>
      </c>
      <c r="E15" s="44">
        <v>11.72</v>
      </c>
      <c r="F15" s="33">
        <f>E15-D15</f>
        <v>0</v>
      </c>
      <c r="G15" s="33">
        <f>F15/D15</f>
        <v>0</v>
      </c>
      <c r="H15" s="35"/>
      <c r="I15" s="55"/>
      <c r="J15" s="52" t="s">
        <v>159</v>
      </c>
      <c r="K15" s="44">
        <v>2</v>
      </c>
      <c r="L15" s="45">
        <v>11.72</v>
      </c>
      <c r="M15" s="44">
        <v>11.72</v>
      </c>
      <c r="N15" s="33">
        <f t="shared" si="4"/>
        <v>0</v>
      </c>
      <c r="O15" s="33">
        <f>N15/L15*100</f>
        <v>0</v>
      </c>
      <c r="P15" s="53"/>
    </row>
    <row r="16" spans="1:16" s="26" customFormat="1" ht="36" customHeight="1">
      <c r="A16" s="46"/>
      <c r="B16" s="44"/>
      <c r="C16" s="44"/>
      <c r="D16" s="45"/>
      <c r="E16" s="44"/>
      <c r="F16" s="44"/>
      <c r="G16" s="44"/>
      <c r="H16" s="35"/>
      <c r="I16" s="55"/>
      <c r="J16" s="59" t="s">
        <v>160</v>
      </c>
      <c r="K16" s="33">
        <v>110.93</v>
      </c>
      <c r="L16" s="33">
        <v>70.69</v>
      </c>
      <c r="M16" s="33">
        <v>250.22</v>
      </c>
      <c r="N16" s="33">
        <f t="shared" si="4"/>
        <v>179.53</v>
      </c>
      <c r="O16" s="33">
        <f>N16/L16*100</f>
        <v>253.9680294242467</v>
      </c>
      <c r="P16" s="53"/>
    </row>
    <row r="17" spans="1:16" s="26" customFormat="1" ht="24.75" customHeight="1">
      <c r="A17" s="47"/>
      <c r="B17" s="44"/>
      <c r="C17" s="44"/>
      <c r="D17" s="45"/>
      <c r="E17" s="44"/>
      <c r="F17" s="44"/>
      <c r="G17" s="44"/>
      <c r="H17" s="35"/>
      <c r="I17" s="55"/>
      <c r="J17" s="60"/>
      <c r="K17" s="33"/>
      <c r="L17" s="33"/>
      <c r="M17" s="33"/>
      <c r="N17" s="33"/>
      <c r="O17" s="33"/>
      <c r="P17" s="53"/>
    </row>
    <row r="18" spans="1:16" s="26" customFormat="1" ht="23.25" customHeight="1">
      <c r="A18" s="48" t="s">
        <v>38</v>
      </c>
      <c r="B18" s="44">
        <f aca="true" t="shared" si="5" ref="B18:F18">SUM(B6:B17)</f>
        <v>150.90999999999997</v>
      </c>
      <c r="C18" s="44">
        <f t="shared" si="5"/>
        <v>2436.1600000000003</v>
      </c>
      <c r="D18" s="44">
        <f t="shared" si="5"/>
        <v>120.38999999999999</v>
      </c>
      <c r="E18" s="44">
        <f t="shared" si="5"/>
        <v>299.9200000000001</v>
      </c>
      <c r="F18" s="44">
        <f t="shared" si="5"/>
        <v>179.53000000000003</v>
      </c>
      <c r="G18" s="44">
        <f>F18/D18*100</f>
        <v>149.1236813688845</v>
      </c>
      <c r="H18" s="35"/>
      <c r="I18" s="55"/>
      <c r="J18" s="61" t="s">
        <v>38</v>
      </c>
      <c r="K18" s="33">
        <f aca="true" t="shared" si="6" ref="K18:N18">SUM(K6:K17)</f>
        <v>112.93</v>
      </c>
      <c r="L18" s="33">
        <f t="shared" si="6"/>
        <v>120.38999999999999</v>
      </c>
      <c r="M18" s="33">
        <f t="shared" si="6"/>
        <v>299.92</v>
      </c>
      <c r="N18" s="33">
        <f t="shared" si="6"/>
        <v>179.53</v>
      </c>
      <c r="O18" s="33">
        <f>N18/L18*100</f>
        <v>149.12368136888446</v>
      </c>
      <c r="P18" s="53"/>
    </row>
    <row r="19" spans="4:13" s="25" customFormat="1" ht="14.25">
      <c r="D19" s="27"/>
      <c r="M19" s="27"/>
    </row>
    <row r="20" spans="4:13" s="25" customFormat="1" ht="14.25">
      <c r="D20" s="27"/>
      <c r="M20" s="27"/>
    </row>
    <row r="21" spans="4:13" s="25" customFormat="1" ht="14.25">
      <c r="D21" s="27"/>
      <c r="J21" s="62"/>
      <c r="K21" s="62"/>
      <c r="M21" s="27"/>
    </row>
    <row r="22" spans="4:13" s="25" customFormat="1" ht="14.25">
      <c r="D22" s="27"/>
      <c r="M22" s="27"/>
    </row>
    <row r="23" spans="4:13" s="25" customFormat="1" ht="14.25">
      <c r="D23" s="27"/>
      <c r="M23" s="27"/>
    </row>
    <row r="24" spans="4:13" s="25" customFormat="1" ht="14.25">
      <c r="D24" s="27"/>
      <c r="M24" s="27"/>
    </row>
    <row r="25" spans="4:13" s="25" customFormat="1" ht="14.25">
      <c r="D25" s="27"/>
      <c r="M25" s="27"/>
    </row>
    <row r="26" spans="4:13" s="25" customFormat="1" ht="14.25">
      <c r="D26" s="27"/>
      <c r="M26" s="27"/>
    </row>
    <row r="27" spans="4:13" s="25" customFormat="1" ht="14.25">
      <c r="D27" s="27"/>
      <c r="M27" s="27"/>
    </row>
    <row r="28" spans="4:13" s="25" customFormat="1" ht="14.25">
      <c r="D28" s="27"/>
      <c r="M28" s="27"/>
    </row>
  </sheetData>
  <sheetProtection/>
  <mergeCells count="2">
    <mergeCell ref="A2:P2"/>
    <mergeCell ref="M3:N3"/>
  </mergeCells>
  <printOptions horizontalCentered="1"/>
  <pageMargins left="0.3145833333333333" right="0.15694444444444444" top="0.275" bottom="0.2361111111111111" header="0.19652777777777777" footer="0.39305555555555555"/>
  <pageSetup firstPageNumber="16" useFirstPageNumber="1" horizontalDpi="600" verticalDpi="600" orientation="landscape" paperSize="9" scale="85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26.50390625" style="1" customWidth="1"/>
    <col min="2" max="2" width="11.125" style="1" customWidth="1"/>
    <col min="3" max="3" width="10.50390625" style="1" customWidth="1"/>
    <col min="4" max="4" width="12.125" style="1" customWidth="1"/>
    <col min="5" max="5" width="26.875" style="1" customWidth="1"/>
    <col min="6" max="6" width="12.875" style="1" customWidth="1"/>
    <col min="7" max="7" width="9.25390625" style="1" customWidth="1"/>
    <col min="8" max="8" width="12.625" style="1" customWidth="1"/>
    <col min="9" max="16384" width="9.00390625" style="1" customWidth="1"/>
  </cols>
  <sheetData>
    <row r="1" spans="1:8" s="1" customFormat="1" ht="20.25">
      <c r="A1" s="2" t="s">
        <v>161</v>
      </c>
      <c r="B1" s="2"/>
      <c r="C1" s="2"/>
      <c r="D1" s="2"/>
      <c r="E1" s="2"/>
      <c r="F1" s="2"/>
      <c r="G1" s="2"/>
      <c r="H1" s="2"/>
    </row>
    <row r="2" spans="1:8" s="1" customFormat="1" ht="14.25">
      <c r="A2" s="3"/>
      <c r="B2" s="4"/>
      <c r="C2" s="5"/>
      <c r="D2" s="5"/>
      <c r="E2" s="6"/>
      <c r="F2" s="6"/>
      <c r="G2" s="6"/>
      <c r="H2" s="7" t="s">
        <v>2</v>
      </c>
    </row>
    <row r="3" spans="1:8" s="1" customFormat="1" ht="23.25" customHeight="1">
      <c r="A3" s="8" t="s">
        <v>162</v>
      </c>
      <c r="B3" s="9" t="s">
        <v>4</v>
      </c>
      <c r="C3" s="9" t="s">
        <v>9</v>
      </c>
      <c r="D3" s="9" t="s">
        <v>163</v>
      </c>
      <c r="E3" s="8" t="s">
        <v>162</v>
      </c>
      <c r="F3" s="9" t="s">
        <v>4</v>
      </c>
      <c r="G3" s="9" t="s">
        <v>9</v>
      </c>
      <c r="H3" s="9" t="s">
        <v>163</v>
      </c>
    </row>
    <row r="4" spans="1:8" s="1" customFormat="1" ht="24">
      <c r="A4" s="10" t="s">
        <v>164</v>
      </c>
      <c r="B4" s="11">
        <v>25869</v>
      </c>
      <c r="C4" s="12">
        <v>0</v>
      </c>
      <c r="D4" s="11">
        <v>25869</v>
      </c>
      <c r="E4" s="13" t="s">
        <v>165</v>
      </c>
      <c r="F4" s="11">
        <v>25869</v>
      </c>
      <c r="G4" s="12">
        <v>0</v>
      </c>
      <c r="H4" s="11">
        <v>25869</v>
      </c>
    </row>
    <row r="5" spans="1:8" s="1" customFormat="1" ht="24">
      <c r="A5" s="14" t="s">
        <v>166</v>
      </c>
      <c r="B5" s="11">
        <v>14605</v>
      </c>
      <c r="C5" s="12">
        <v>0</v>
      </c>
      <c r="D5" s="11">
        <v>14605</v>
      </c>
      <c r="E5" s="15" t="s">
        <v>167</v>
      </c>
      <c r="F5" s="11">
        <v>10302</v>
      </c>
      <c r="G5" s="12">
        <v>0</v>
      </c>
      <c r="H5" s="11">
        <v>10302</v>
      </c>
    </row>
    <row r="6" spans="1:8" s="1" customFormat="1" ht="23.25" customHeight="1">
      <c r="A6" s="14"/>
      <c r="B6" s="11"/>
      <c r="C6" s="12"/>
      <c r="D6" s="11"/>
      <c r="E6" s="16"/>
      <c r="F6" s="11"/>
      <c r="G6" s="12"/>
      <c r="H6" s="11"/>
    </row>
    <row r="7" spans="1:8" s="1" customFormat="1" ht="18.75" customHeight="1">
      <c r="A7" s="17"/>
      <c r="B7" s="11"/>
      <c r="C7" s="12"/>
      <c r="D7" s="11"/>
      <c r="E7" s="16"/>
      <c r="F7" s="11"/>
      <c r="G7" s="12"/>
      <c r="H7" s="11"/>
    </row>
    <row r="8" spans="1:8" s="1" customFormat="1" ht="14.25">
      <c r="A8" s="14"/>
      <c r="B8" s="11"/>
      <c r="C8" s="12"/>
      <c r="D8" s="11"/>
      <c r="E8" s="16"/>
      <c r="F8" s="11"/>
      <c r="G8" s="12"/>
      <c r="H8" s="11"/>
    </row>
    <row r="9" spans="1:8" s="1" customFormat="1" ht="14.25">
      <c r="A9" s="14"/>
      <c r="B9" s="11"/>
      <c r="C9" s="12"/>
      <c r="D9" s="11"/>
      <c r="E9" s="16"/>
      <c r="F9" s="11"/>
      <c r="G9" s="12"/>
      <c r="H9" s="11"/>
    </row>
    <row r="10" spans="1:8" s="1" customFormat="1" ht="14.25">
      <c r="A10" s="17"/>
      <c r="B10" s="11"/>
      <c r="C10" s="12"/>
      <c r="D10" s="11"/>
      <c r="E10" s="16"/>
      <c r="F10" s="11"/>
      <c r="G10" s="12"/>
      <c r="H10" s="11"/>
    </row>
    <row r="11" spans="1:8" s="1" customFormat="1" ht="14.25">
      <c r="A11" s="18" t="s">
        <v>168</v>
      </c>
      <c r="B11" s="19">
        <f aca="true" t="shared" si="0" ref="B11:H11">SUM(B4:B5)</f>
        <v>40474</v>
      </c>
      <c r="C11" s="20">
        <f t="shared" si="0"/>
        <v>0</v>
      </c>
      <c r="D11" s="19">
        <f t="shared" si="0"/>
        <v>40474</v>
      </c>
      <c r="E11" s="21" t="s">
        <v>169</v>
      </c>
      <c r="F11" s="19">
        <f t="shared" si="0"/>
        <v>36171</v>
      </c>
      <c r="G11" s="12">
        <f t="shared" si="0"/>
        <v>0</v>
      </c>
      <c r="H11" s="19">
        <f t="shared" si="0"/>
        <v>36171</v>
      </c>
    </row>
    <row r="12" spans="1:8" s="1" customFormat="1" ht="14.25">
      <c r="A12" s="18" t="s">
        <v>170</v>
      </c>
      <c r="B12" s="19">
        <f aca="true" t="shared" si="1" ref="B12:H12">SUM(B13:B14)</f>
        <v>33962</v>
      </c>
      <c r="C12" s="20">
        <f t="shared" si="1"/>
        <v>0</v>
      </c>
      <c r="D12" s="19">
        <f t="shared" si="1"/>
        <v>33962</v>
      </c>
      <c r="E12" s="21" t="s">
        <v>171</v>
      </c>
      <c r="F12" s="19">
        <f t="shared" si="1"/>
        <v>38265</v>
      </c>
      <c r="G12" s="12">
        <f t="shared" si="1"/>
        <v>0</v>
      </c>
      <c r="H12" s="19">
        <f t="shared" si="1"/>
        <v>38265</v>
      </c>
    </row>
    <row r="13" spans="1:8" s="1" customFormat="1" ht="14.25">
      <c r="A13" s="22" t="s">
        <v>172</v>
      </c>
      <c r="B13" s="11"/>
      <c r="C13" s="12"/>
      <c r="D13" s="11"/>
      <c r="E13" s="23" t="s">
        <v>173</v>
      </c>
      <c r="F13" s="11"/>
      <c r="G13" s="12"/>
      <c r="H13" s="11"/>
    </row>
    <row r="14" spans="1:8" s="1" customFormat="1" ht="14.25">
      <c r="A14" s="22" t="s">
        <v>174</v>
      </c>
      <c r="B14" s="11">
        <f>28263+5699</f>
        <v>33962</v>
      </c>
      <c r="C14" s="12">
        <v>0</v>
      </c>
      <c r="D14" s="11">
        <f>B14</f>
        <v>33962</v>
      </c>
      <c r="E14" s="23" t="s">
        <v>137</v>
      </c>
      <c r="F14" s="11">
        <f>32566+5699</f>
        <v>38265</v>
      </c>
      <c r="G14" s="12">
        <v>0</v>
      </c>
      <c r="H14" s="11">
        <f>F14</f>
        <v>38265</v>
      </c>
    </row>
    <row r="15" spans="1:8" s="1" customFormat="1" ht="14.25">
      <c r="A15" s="18" t="s">
        <v>175</v>
      </c>
      <c r="B15" s="19">
        <f aca="true" t="shared" si="2" ref="B15:H15">B11+B12</f>
        <v>74436</v>
      </c>
      <c r="C15" s="20">
        <f t="shared" si="2"/>
        <v>0</v>
      </c>
      <c r="D15" s="19">
        <f t="shared" si="2"/>
        <v>74436</v>
      </c>
      <c r="E15" s="24" t="s">
        <v>176</v>
      </c>
      <c r="F15" s="19">
        <f t="shared" si="2"/>
        <v>74436</v>
      </c>
      <c r="G15" s="12">
        <f t="shared" si="2"/>
        <v>0</v>
      </c>
      <c r="H15" s="19">
        <f t="shared" si="2"/>
        <v>74436</v>
      </c>
    </row>
    <row r="21" s="1" customFormat="1" ht="23.2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</sheetData>
  <sheetProtection/>
  <mergeCells count="1">
    <mergeCell ref="A1:H1"/>
  </mergeCells>
  <printOptions/>
  <pageMargins left="0.7513888888888889" right="0.7513888888888889" top="1" bottom="1" header="0.5" footer="0.5"/>
  <pageSetup firstPageNumber="15" useFirstPageNumber="1" horizontalDpi="600" verticalDpi="600" orientation="landscape" paperSize="9"/>
  <headerFoot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万川归海</cp:lastModifiedBy>
  <cp:lastPrinted>2019-10-24T04:05:47Z</cp:lastPrinted>
  <dcterms:created xsi:type="dcterms:W3CDTF">2015-10-23T07:18:21Z</dcterms:created>
  <dcterms:modified xsi:type="dcterms:W3CDTF">2023-10-31T01:06:57Z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KSOReadingLayo">
    <vt:bool>true</vt:bool>
  </property>
  <property fmtid="{D5CDD505-2E9C-101B-9397-08002B2CF9AE}" pid="5" name="I">
    <vt:lpwstr>E39D1B1D0D834080AD933E12C535187E_12</vt:lpwstr>
  </property>
</Properties>
</file>