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13" firstSheet="7" activeTab="15"/>
  </bookViews>
  <sheets>
    <sheet name="封面" sheetId="1" r:id="rId1"/>
    <sheet name="目录" sheetId="19" r:id="rId2"/>
    <sheet name="一般公共预算收入表" sheetId="2" r:id="rId3"/>
    <sheet name="一般公共预算支出表 " sheetId="29" r:id="rId4"/>
    <sheet name="本级一般公共预算支出表 " sheetId="31" r:id="rId5"/>
    <sheet name="本级一般公共预算基本支出表" sheetId="4" r:id="rId6"/>
    <sheet name="一般公共预算转移性收入支出表" sheetId="23" r:id="rId7"/>
    <sheet name="政府一般债务限额和余额情况表" sheetId="21" r:id="rId8"/>
    <sheet name="政府性基金收入表" sheetId="6" r:id="rId9"/>
    <sheet name="政府性基金支出表" sheetId="22" r:id="rId10"/>
    <sheet name="本级政府性基金支出表 " sheetId="30" r:id="rId11"/>
    <sheet name="政府性基金转移支付收入支出表" sheetId="13" r:id="rId12"/>
    <sheet name="政府专项债务限额和余额情况表" sheetId="16" r:id="rId13"/>
    <sheet name="社会保险基金预算表" sheetId="15" r:id="rId14"/>
    <sheet name="社会保险基金收入表" sheetId="8" r:id="rId15"/>
    <sheet name="社会保险基金支出表" sheetId="14" r:id="rId16"/>
    <sheet name="国有资本经营预算收入表" sheetId="9" r:id="rId17"/>
    <sheet name="国有资本经营预算支出表" sheetId="5" r:id="rId18"/>
    <sheet name="本级国有资本经营预算支出表" sheetId="18" r:id="rId19"/>
  </sheets>
  <definedNames>
    <definedName name="_xlnm._FilterDatabase" localSheetId="3" hidden="1">'一般公共预算支出表 '!$A$5:$Q$1215</definedName>
    <definedName name="_xlnm._FilterDatabase" localSheetId="8" hidden="1">政府性基金收入表!$A$5:$N$29</definedName>
    <definedName name="_xlnm._FilterDatabase" localSheetId="10" hidden="1">'本级政府性基金支出表 '!$A$5:$L$173</definedName>
    <definedName name="_xlnm._FilterDatabase" localSheetId="9" hidden="1">政府性基金支出表!$A$5:$L$173</definedName>
    <definedName name="_xlnm._FilterDatabase" localSheetId="4" hidden="1">'本级一般公共预算支出表 '!$A$5:$Q$1215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6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与2011年科目名称不同，2011年“预算编制业务”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6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与2011年科目名称不同，2011年“预算编制业务”</t>
        </r>
      </text>
    </comment>
  </commentList>
</comments>
</file>

<file path=xl/sharedStrings.xml><?xml version="1.0" encoding="utf-8"?>
<sst xmlns="http://schemas.openxmlformats.org/spreadsheetml/2006/main" count="3482" uniqueCount="1463">
  <si>
    <t>鹿寨县</t>
  </si>
  <si>
    <t>2025年预算执行情况和2026年预算（草案）</t>
  </si>
  <si>
    <t>鹿寨县财政局编制</t>
  </si>
  <si>
    <t>目    录</t>
  </si>
  <si>
    <t>一、一般公共预算预算报表</t>
  </si>
  <si>
    <t>（一）一般公共预算2026年收入预算(草案）</t>
  </si>
  <si>
    <t>（二）一般公共预算2026年支出预算(草案）</t>
  </si>
  <si>
    <t>（三）本级一般公共预算2026年支出预算(草案）</t>
  </si>
  <si>
    <t>（四）2026年当年财力安排的一般公共预算支出预算表-经济分类科目</t>
  </si>
  <si>
    <t>（五）一般公共预算转移性收入支出表(草案）</t>
  </si>
  <si>
    <t>（六）2025年一般债务限额和余额情况表（草案）</t>
  </si>
  <si>
    <t>二、政府性基金预算报表</t>
  </si>
  <si>
    <t>（一）政府性基金预算2026年收入预算(草案）</t>
  </si>
  <si>
    <t>（二）政府性基金预算2026年支出预算(草案）</t>
  </si>
  <si>
    <t>（三）本级政府性基金预算2026年支出预算(草案）</t>
  </si>
  <si>
    <t>（四）政府性基金预算2026年转移支付收入支出预算(草案）</t>
  </si>
  <si>
    <t>（五）2025年专项债务限额和余额情况表（草案）</t>
  </si>
  <si>
    <t>三、社会保险基金预算报表</t>
  </si>
  <si>
    <t>（一）本级社会保险基金预算2026年预算(草案）</t>
  </si>
  <si>
    <t>（二）本级社会保险基金预算2026年收入预算(草案）</t>
  </si>
  <si>
    <t>（三）本级社会保险基金预算2026年支出预算(草案）</t>
  </si>
  <si>
    <t>四、国有资本经营预算报表</t>
  </si>
  <si>
    <t>（一）国有资本经营预算2026年收入预算(草案）</t>
  </si>
  <si>
    <t>（二）国有资本经营预算2026年支出预算(草案）</t>
  </si>
  <si>
    <t>（三）本级国有资本经营预算2026年支出预算(草案）</t>
  </si>
  <si>
    <t>鹿寨县一般公共预算2026年收入预算(草案）</t>
  </si>
  <si>
    <r>
      <rPr>
        <sz val="12"/>
        <rFont val="宋体"/>
        <charset val="134"/>
      </rPr>
      <t>单位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万元</t>
    </r>
  </si>
  <si>
    <r>
      <rPr>
        <sz val="12"/>
        <rFont val="黑体"/>
        <charset val="134"/>
      </rPr>
      <t>项</t>
    </r>
    <r>
      <rPr>
        <sz val="12"/>
        <rFont val="Times New Roman"/>
        <charset val="134"/>
      </rPr>
      <t xml:space="preserve">            </t>
    </r>
    <r>
      <rPr>
        <sz val="12"/>
        <rFont val="黑体"/>
        <charset val="134"/>
      </rPr>
      <t>目</t>
    </r>
  </si>
  <si>
    <r>
      <rPr>
        <sz val="12"/>
        <rFont val="Times New Roman"/>
        <charset val="134"/>
      </rPr>
      <t>2024</t>
    </r>
    <r>
      <rPr>
        <sz val="12"/>
        <rFont val="黑体"/>
        <charset val="134"/>
      </rPr>
      <t>年</t>
    </r>
  </si>
  <si>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</t>
    </r>
  </si>
  <si>
    <r>
      <rPr>
        <sz val="12"/>
        <rFont val="Times New Roman"/>
        <charset val="134"/>
      </rPr>
      <t>2026</t>
    </r>
    <r>
      <rPr>
        <sz val="12"/>
        <rFont val="黑体"/>
        <charset val="134"/>
      </rPr>
      <t>年预算</t>
    </r>
  </si>
  <si>
    <r>
      <rPr>
        <sz val="12"/>
        <rFont val="黑体"/>
        <charset val="134"/>
      </rPr>
      <t>完成数</t>
    </r>
  </si>
  <si>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</si>
  <si>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</si>
  <si>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完成预算</t>
    </r>
    <r>
      <rPr>
        <sz val="12"/>
        <rFont val="Times New Roman"/>
        <charset val="134"/>
      </rPr>
      <t>%</t>
    </r>
  </si>
  <si>
    <r>
      <rPr>
        <sz val="12"/>
        <rFont val="黑体"/>
        <charset val="134"/>
      </rPr>
      <t>比上年完成数增减</t>
    </r>
  </si>
  <si>
    <t>建议数</t>
  </si>
  <si>
    <r>
      <rPr>
        <sz val="12"/>
        <rFont val="黑体"/>
        <charset val="134"/>
      </rPr>
      <t>比</t>
    </r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年执行数增减</t>
    </r>
  </si>
  <si>
    <r>
      <rPr>
        <sz val="12"/>
        <rFont val="黑体"/>
        <charset val="134"/>
      </rPr>
      <t>金额</t>
    </r>
  </si>
  <si>
    <t>%</t>
  </si>
  <si>
    <t>一、税收收入</t>
  </si>
  <si>
    <t xml:space="preserve">   增值税</t>
  </si>
  <si>
    <t xml:space="preserve">   消费税</t>
  </si>
  <si>
    <t xml:space="preserve">   企业所得税</t>
  </si>
  <si>
    <t xml:space="preserve">   企业所得税退税</t>
  </si>
  <si>
    <t xml:space="preserve">   个人所得税</t>
  </si>
  <si>
    <t xml:space="preserve">   资源税</t>
  </si>
  <si>
    <t xml:space="preserve">   城市维护建设税</t>
  </si>
  <si>
    <t xml:space="preserve">   房产税</t>
  </si>
  <si>
    <t xml:space="preserve">   印花税</t>
  </si>
  <si>
    <t xml:space="preserve">   城镇土地使用税</t>
  </si>
  <si>
    <t xml:space="preserve">   土地增值税</t>
  </si>
  <si>
    <t xml:space="preserve">   车船税</t>
  </si>
  <si>
    <t xml:space="preserve">   耕地占用税</t>
  </si>
  <si>
    <t xml:space="preserve">   契税</t>
  </si>
  <si>
    <t xml:space="preserve">   烟叶税</t>
  </si>
  <si>
    <t xml:space="preserve">   环境保护税</t>
  </si>
  <si>
    <t xml:space="preserve">   其他税收收入</t>
  </si>
  <si>
    <t>二、非税收入</t>
  </si>
  <si>
    <t xml:space="preserve">   专项收入</t>
  </si>
  <si>
    <t xml:space="preserve">        其中：排污费收入</t>
  </si>
  <si>
    <t xml:space="preserve">             水资源费收入</t>
  </si>
  <si>
    <t xml:space="preserve">             教育费附加收入</t>
  </si>
  <si>
    <t xml:space="preserve">             矿产资源专项收入</t>
  </si>
  <si>
    <t xml:space="preserve">             地方教育附加收入</t>
  </si>
  <si>
    <t xml:space="preserve">             残疾人就业保障金收入</t>
  </si>
  <si>
    <t xml:space="preserve">             教育资金收入（从地方土地
             出让收益中计提）</t>
  </si>
  <si>
    <t xml:space="preserve">             农田水利建设资金收入（从
             地方土地出让收益计提）</t>
  </si>
  <si>
    <t xml:space="preserve">             育林基金收入</t>
  </si>
  <si>
    <t xml:space="preserve">             森林植被恢复费</t>
  </si>
  <si>
    <t xml:space="preserve">             水利建设基金收入</t>
  </si>
  <si>
    <t xml:space="preserve">   行政事业性收费收入</t>
  </si>
  <si>
    <t xml:space="preserve">   罚没收入</t>
  </si>
  <si>
    <t xml:space="preserve">   国有资本经营收入</t>
  </si>
  <si>
    <t xml:space="preserve">   国有资源(资产)有偿使用收入</t>
  </si>
  <si>
    <t xml:space="preserve">   政府住房基金收入</t>
  </si>
  <si>
    <t xml:space="preserve">   其他收入</t>
  </si>
  <si>
    <t>一般公共预算收入合计</t>
  </si>
  <si>
    <t>转移性收入</t>
  </si>
  <si>
    <t xml:space="preserve">  上级补助收入</t>
  </si>
  <si>
    <t xml:space="preserve">    返还性收入</t>
  </si>
  <si>
    <t xml:space="preserve">       所得税基数返还收入</t>
  </si>
  <si>
    <t xml:space="preserve">       成品油、税费改革转移支付收入</t>
  </si>
  <si>
    <t xml:space="preserve">       增值税和消费税税收返还收入</t>
  </si>
  <si>
    <t xml:space="preserve">       其他税收返还收入</t>
  </si>
  <si>
    <t xml:space="preserve">    一般性转移支付收入</t>
  </si>
  <si>
    <t xml:space="preserve">       体制补助收入</t>
  </si>
  <si>
    <t xml:space="preserve">       均衡性转移支付收入</t>
  </si>
  <si>
    <t xml:space="preserve">       县级基本财力保障机制奖补资金收入</t>
  </si>
  <si>
    <t xml:space="preserve">       结算补助收入</t>
  </si>
  <si>
    <t xml:space="preserve">       资源枯竭型城市转移支付补助收入</t>
  </si>
  <si>
    <t xml:space="preserve">       企业事业单位划转补助收入</t>
  </si>
  <si>
    <t xml:space="preserve">       产粮（油）大县奖励资金收入</t>
  </si>
  <si>
    <t xml:space="preserve">       重点生态功能区转移支付收入</t>
  </si>
  <si>
    <t xml:space="preserve">       固定数额补助收入</t>
  </si>
  <si>
    <t xml:space="preserve">      革命老区转移支付收入</t>
  </si>
  <si>
    <t xml:space="preserve">      民族地区转移支付收入</t>
  </si>
  <si>
    <t xml:space="preserve">      巩固脱贫攻坚成果衔接乡村振兴转移支付收入</t>
  </si>
  <si>
    <t>一般公共服务共同财政事权转移支付收入</t>
  </si>
  <si>
    <t xml:space="preserve"> 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</si>
  <si>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</si>
  <si>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</si>
  <si>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</si>
  <si>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</si>
  <si>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 社会保障和就业共同财政事权转移支付收入</t>
  </si>
  <si>
    <t xml:space="preserve">       医疗卫生共同财政事权转移支付收入</t>
  </si>
  <si>
    <t xml:space="preserve">       节能环保共同财政事权转移支付收入</t>
  </si>
  <si>
    <t xml:space="preserve">       农林水共同财政事权转移支付收入</t>
  </si>
  <si>
    <t xml:space="preserve">       交通运输共同财政事权转移支付收入</t>
  </si>
  <si>
    <t xml:space="preserve">       商业服务业等共同财政事权转移支付收入</t>
  </si>
  <si>
    <t xml:space="preserve">       住房保障共同财政事权转移支付收入</t>
  </si>
  <si>
    <t xml:space="preserve">       粮油物资储备共同财政事权转移支付收入</t>
  </si>
  <si>
    <t xml:space="preserve">       灾害防治及应急管理共同财政事权转移支付收入</t>
  </si>
  <si>
    <t xml:space="preserve">       其他共同财政事权转移支付收入</t>
  </si>
  <si>
    <t xml:space="preserve">       增值税留抵退税转移支付收入</t>
  </si>
  <si>
    <t xml:space="preserve">       其他退税减税降费转移支付收入</t>
  </si>
  <si>
    <t xml:space="preserve">       补充县区财力转移支付收入</t>
  </si>
  <si>
    <t xml:space="preserve">       其他一般性转移支付收入</t>
  </si>
  <si>
    <t xml:space="preserve">    专项转移支付收入</t>
  </si>
  <si>
    <t xml:space="preserve">       一般公共服务</t>
  </si>
  <si>
    <t xml:space="preserve">       外交</t>
  </si>
  <si>
    <t xml:space="preserve">       国防</t>
  </si>
  <si>
    <t xml:space="preserve">       公共安全</t>
  </si>
  <si>
    <t xml:space="preserve">       教育</t>
  </si>
  <si>
    <t xml:space="preserve">       科学技术</t>
  </si>
  <si>
    <t xml:space="preserve">       文化旅游体育与传媒</t>
  </si>
  <si>
    <t xml:space="preserve">       社会保障和就业</t>
  </si>
  <si>
    <t xml:space="preserve">       卫生健康</t>
  </si>
  <si>
    <t xml:space="preserve">       节能环保</t>
  </si>
  <si>
    <t xml:space="preserve">       城乡社区</t>
  </si>
  <si>
    <t xml:space="preserve">       农林水</t>
  </si>
  <si>
    <t xml:space="preserve">       交通运输</t>
  </si>
  <si>
    <t xml:space="preserve">       资源勘探信息等</t>
  </si>
  <si>
    <t xml:space="preserve">       商业服务业等</t>
  </si>
  <si>
    <t xml:space="preserve">       金融</t>
  </si>
  <si>
    <t xml:space="preserve">       自然资源海洋气象等</t>
  </si>
  <si>
    <t xml:space="preserve">       住房保障</t>
  </si>
  <si>
    <t xml:space="preserve">       粮油物资储备</t>
  </si>
  <si>
    <t xml:space="preserve">       灾害防治及应急管理支出</t>
  </si>
  <si>
    <t xml:space="preserve">       其他收入</t>
  </si>
  <si>
    <t xml:space="preserve">  上年结余收入</t>
  </si>
  <si>
    <t xml:space="preserve">  调入资金</t>
  </si>
  <si>
    <t xml:space="preserve">    从政府性基金预算调入一般公共预算</t>
  </si>
  <si>
    <t xml:space="preserve">    从国有资本经营预算调入一般公共预算</t>
  </si>
  <si>
    <t xml:space="preserve">    从其他资金调入一般公共预算</t>
  </si>
  <si>
    <t xml:space="preserve">  调入预算稳定调节基金</t>
  </si>
  <si>
    <t xml:space="preserve">  债券转贷收入</t>
  </si>
  <si>
    <t>收入总计</t>
  </si>
  <si>
    <t>鹿寨县本级一般公共预算2026年支出预算(草案）</t>
  </si>
  <si>
    <r>
      <rPr>
        <sz val="12"/>
        <rFont val="黑体"/>
        <charset val="134"/>
      </rPr>
      <t>支出功能分类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代码</t>
    </r>
  </si>
  <si>
    <r>
      <rPr>
        <sz val="12"/>
        <rFont val="黑体"/>
        <charset val="134"/>
      </rPr>
      <t>项</t>
    </r>
    <r>
      <rPr>
        <sz val="12"/>
        <rFont val="Times New Roman"/>
        <charset val="134"/>
      </rPr>
      <t xml:space="preserve">       </t>
    </r>
    <r>
      <rPr>
        <sz val="12"/>
        <rFont val="黑体"/>
        <charset val="134"/>
      </rPr>
      <t>目</t>
    </r>
  </si>
  <si>
    <t>完成数</t>
  </si>
  <si>
    <t>年初预算</t>
  </si>
  <si>
    <t>执行数</t>
  </si>
  <si>
    <r>
      <rPr>
        <sz val="12"/>
        <rFont val="黑体"/>
        <charset val="134"/>
      </rPr>
      <t>完成年初预算</t>
    </r>
    <r>
      <rPr>
        <sz val="12"/>
        <rFont val="Times New Roman"/>
        <charset val="134"/>
      </rPr>
      <t>%</t>
    </r>
  </si>
  <si>
    <t>比上年完成数增减</t>
  </si>
  <si>
    <r>
      <rPr>
        <sz val="12"/>
        <rFont val="黑体"/>
        <charset val="134"/>
      </rPr>
      <t>比</t>
    </r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年年初预算增减</t>
    </r>
  </si>
  <si>
    <t>金额</t>
  </si>
  <si>
    <t>本级</t>
  </si>
  <si>
    <t>系统数</t>
  </si>
  <si>
    <t>其他支出</t>
  </si>
  <si>
    <t>上级</t>
  </si>
  <si>
    <t>上年结转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</si>
  <si>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</si>
  <si>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</si>
  <si>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</si>
  <si>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</si>
  <si>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</si>
  <si>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</si>
  <si>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</si>
  <si>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</si>
  <si>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</si>
  <si>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</si>
  <si>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</si>
  <si>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</si>
  <si>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</si>
  <si>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</si>
  <si>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</si>
  <si>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</si>
  <si>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</si>
  <si>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</si>
  <si>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</si>
  <si>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</si>
  <si>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</si>
  <si>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</si>
  <si>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>2010308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</si>
  <si>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</si>
  <si>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</si>
  <si>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</si>
  <si>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</si>
  <si>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</si>
  <si>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</si>
  <si>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</si>
  <si>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</si>
  <si>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</si>
  <si>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</si>
  <si>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</si>
  <si>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</si>
  <si>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</si>
  <si>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</si>
  <si>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</si>
  <si>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</si>
  <si>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</si>
  <si>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</si>
  <si>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</si>
  <si>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</si>
  <si>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</si>
  <si>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</si>
  <si>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</si>
  <si>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</si>
  <si>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</si>
  <si>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</si>
  <si>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</si>
  <si>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</si>
  <si>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</si>
  <si>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</si>
  <si>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税收要业务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</si>
  <si>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</si>
  <si>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</si>
  <si>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</si>
  <si>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</si>
  <si>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</si>
  <si>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</si>
  <si>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</si>
  <si>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</si>
  <si>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</si>
  <si>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</si>
  <si>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</si>
  <si>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</si>
  <si>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</si>
  <si>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</si>
  <si>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</si>
  <si>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</si>
  <si>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</si>
  <si>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</si>
  <si>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</si>
  <si>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</si>
  <si>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</si>
  <si>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</si>
  <si>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</si>
  <si>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</si>
  <si>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</si>
  <si>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</si>
  <si>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</si>
  <si>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</si>
  <si>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</si>
  <si>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</si>
  <si>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</si>
  <si>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</si>
  <si>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</si>
  <si>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</si>
  <si>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</si>
  <si>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</si>
  <si>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</si>
  <si>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</si>
  <si>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</si>
  <si>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</si>
  <si>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</si>
  <si>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</si>
  <si>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</si>
  <si>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</si>
  <si>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</si>
  <si>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</si>
  <si>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</si>
  <si>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</si>
  <si>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</si>
  <si>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</si>
  <si>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</si>
  <si>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</si>
  <si>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</si>
  <si>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</si>
  <si>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</si>
  <si>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</si>
  <si>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</si>
  <si>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</si>
  <si>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</si>
  <si>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</si>
  <si>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</si>
  <si>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网信业务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</si>
  <si>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</si>
  <si>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</si>
  <si>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</si>
  <si>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</si>
  <si>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</si>
  <si>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</si>
  <si>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</si>
  <si>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</si>
  <si>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</si>
  <si>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</si>
  <si>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</si>
  <si>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社会工作事务</t>
  </si>
  <si>
    <t>2013904</t>
  </si>
  <si>
    <t xml:space="preserve">      其他社会工作事务支出</t>
  </si>
  <si>
    <t xml:space="preserve">    信访事务</t>
  </si>
  <si>
    <t xml:space="preserve">      信访业务</t>
  </si>
  <si>
    <t xml:space="preserve">      其他信访事务支出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</si>
  <si>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</si>
  <si>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</si>
  <si>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</si>
  <si>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二、国防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</si>
  <si>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</si>
  <si>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</si>
  <si>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</si>
  <si>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</si>
  <si>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</si>
  <si>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民兵</t>
    </r>
  </si>
  <si>
    <t xml:space="preserve">      其他国防动员支出</t>
  </si>
  <si>
    <t xml:space="preserve">    其他国防支出</t>
  </si>
  <si>
    <t>三、公共安全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</si>
  <si>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</si>
  <si>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</si>
  <si>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</si>
  <si>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</si>
  <si>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</si>
  <si>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</si>
  <si>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</si>
  <si>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</si>
  <si>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</si>
  <si>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</si>
  <si>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</si>
  <si>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</si>
  <si>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</si>
  <si>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</si>
  <si>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</si>
  <si>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</si>
  <si>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</si>
  <si>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</si>
  <si>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</si>
  <si>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</si>
  <si>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</si>
  <si>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</si>
  <si>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</si>
  <si>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</si>
  <si>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</si>
  <si>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</si>
  <si>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</si>
  <si>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</si>
  <si>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</si>
  <si>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</si>
  <si>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</si>
  <si>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</si>
  <si>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</si>
  <si>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</si>
  <si>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</si>
  <si>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</si>
  <si>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</si>
  <si>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</si>
  <si>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</si>
  <si>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</si>
  <si>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</si>
  <si>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</si>
  <si>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</si>
  <si>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</si>
  <si>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</si>
  <si>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</si>
  <si>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</si>
  <si>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>四、教育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</si>
  <si>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</si>
  <si>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</si>
  <si>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</si>
  <si>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</si>
  <si>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</si>
  <si>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</si>
  <si>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</si>
  <si>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</si>
  <si>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</si>
  <si>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</si>
  <si>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</si>
  <si>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</si>
  <si>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</si>
  <si>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</si>
  <si>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</si>
  <si>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</si>
  <si>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</si>
  <si>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</si>
  <si>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</si>
  <si>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</si>
  <si>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</si>
  <si>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</si>
  <si>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</si>
  <si>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</si>
  <si>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</si>
  <si>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</si>
  <si>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</si>
  <si>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</si>
  <si>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</si>
  <si>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</si>
  <si>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</si>
  <si>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专门学校教育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</si>
  <si>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</si>
  <si>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</si>
  <si>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</si>
  <si>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</si>
  <si>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</si>
  <si>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</si>
  <si>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</si>
  <si>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</si>
  <si>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</si>
  <si>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</si>
  <si>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</si>
  <si>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</si>
  <si>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</si>
  <si>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</si>
  <si>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</si>
  <si>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五、科学技术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</si>
  <si>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</si>
  <si>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</si>
  <si>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</si>
  <si>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</si>
  <si>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</si>
  <si>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</si>
  <si>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</si>
  <si>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</si>
  <si>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</si>
  <si>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</si>
  <si>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</si>
  <si>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</si>
  <si>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</si>
  <si>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</si>
  <si>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</si>
  <si>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</si>
  <si>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</si>
  <si>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</si>
  <si>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</si>
  <si>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</si>
  <si>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</si>
  <si>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</si>
  <si>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</si>
  <si>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</si>
  <si>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</si>
  <si>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</si>
  <si>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</si>
  <si>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</si>
  <si>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</si>
  <si>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</si>
  <si>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</si>
  <si>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</si>
  <si>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</si>
  <si>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</si>
  <si>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</si>
  <si>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</si>
  <si>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</si>
  <si>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</si>
  <si>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</si>
  <si>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</si>
  <si>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</si>
  <si>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</si>
  <si>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</si>
  <si>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</si>
  <si>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六、文化旅游体育与传媒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</si>
  <si>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</si>
  <si>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</si>
  <si>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</si>
  <si>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</si>
  <si>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</si>
  <si>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</si>
  <si>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</si>
  <si>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</si>
  <si>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</si>
  <si>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</si>
  <si>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</si>
  <si>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</si>
  <si>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</si>
  <si>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</si>
  <si>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</si>
  <si>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</si>
  <si>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</si>
  <si>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</si>
  <si>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</si>
  <si>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</si>
  <si>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</si>
  <si>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</si>
  <si>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</si>
  <si>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</si>
  <si>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</si>
  <si>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</si>
  <si>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</si>
  <si>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</si>
  <si>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</si>
  <si>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</si>
  <si>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</si>
  <si>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</si>
  <si>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</si>
  <si>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</si>
  <si>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</si>
  <si>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</si>
  <si>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</si>
  <si>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</si>
  <si>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</si>
  <si>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</si>
  <si>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</si>
  <si>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七、社会保障和就业</t>
  </si>
  <si>
    <t>20801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</si>
  <si>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</si>
  <si>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</si>
  <si>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</si>
  <si>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</si>
  <si>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</si>
  <si>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</si>
  <si>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</si>
  <si>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</si>
  <si>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</si>
  <si>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</si>
  <si>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</si>
  <si>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</si>
  <si>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</si>
  <si>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</si>
  <si>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</si>
  <si>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</si>
  <si>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</si>
  <si>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</si>
  <si>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</si>
  <si>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</si>
  <si>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</si>
  <si>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</si>
  <si>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</si>
  <si>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</si>
  <si>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</si>
  <si>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</si>
  <si>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</si>
  <si>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</si>
  <si>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</si>
  <si>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</si>
  <si>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</si>
  <si>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</si>
  <si>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</si>
  <si>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</si>
  <si>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</si>
  <si>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</si>
  <si>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</si>
  <si>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</si>
  <si>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</si>
  <si>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</si>
  <si>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</si>
  <si>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</si>
  <si>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</si>
  <si>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</si>
  <si>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</si>
  <si>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</si>
  <si>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</si>
  <si>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褒扬纪念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</si>
  <si>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</si>
  <si>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</si>
  <si>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</si>
  <si>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</si>
  <si>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</si>
  <si>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</si>
  <si>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</si>
  <si>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</si>
  <si>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</si>
  <si>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</si>
  <si>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</si>
  <si>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</si>
  <si>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</si>
  <si>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</si>
  <si>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</si>
  <si>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</si>
  <si>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</si>
  <si>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</si>
  <si>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</si>
  <si>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</si>
  <si>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</si>
  <si>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</si>
  <si>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</si>
  <si>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</si>
  <si>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</si>
  <si>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</si>
  <si>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</si>
  <si>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</si>
  <si>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</si>
  <si>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</si>
  <si>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</si>
  <si>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城市特困人员供养支出</t>
  </si>
  <si>
    <t xml:space="preserve">      农村特困人员救助供养支出</t>
  </si>
  <si>
    <t xml:space="preserve">    补充道路交通事故社会救助基金</t>
  </si>
  <si>
    <t xml:space="preserve">      对道路交通事故社会救助基金的补助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</si>
  <si>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</si>
  <si>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</si>
  <si>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</si>
  <si>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</si>
  <si>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</si>
  <si>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</si>
  <si>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</si>
  <si>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</si>
  <si>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</si>
  <si>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</si>
  <si>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</si>
  <si>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</si>
  <si>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</si>
  <si>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</si>
  <si>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</si>
  <si>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</si>
  <si>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</si>
  <si>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</si>
  <si>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</si>
  <si>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</si>
  <si>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</si>
  <si>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>八、卫生健康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</si>
  <si>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</si>
  <si>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</si>
  <si>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</si>
  <si>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</si>
  <si>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</si>
  <si>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</si>
  <si>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</si>
  <si>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</si>
  <si>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</si>
  <si>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</si>
  <si>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</si>
  <si>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</si>
  <si>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</si>
  <si>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</si>
  <si>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</si>
  <si>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</si>
  <si>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</si>
  <si>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</si>
  <si>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</si>
  <si>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</si>
  <si>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</si>
  <si>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</si>
  <si>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</si>
  <si>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</si>
  <si>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</si>
  <si>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</si>
  <si>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</si>
  <si>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</si>
  <si>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</si>
  <si>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</si>
  <si>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</si>
  <si>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中医药</t>
  </si>
  <si>
    <t xml:space="preserve">    中医(民族医)药专项</t>
  </si>
  <si>
    <t xml:space="preserve">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</si>
  <si>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</si>
  <si>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</si>
  <si>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</si>
  <si>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</si>
  <si>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</si>
  <si>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</si>
  <si>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</si>
  <si>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</si>
  <si>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</si>
  <si>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</si>
  <si>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</si>
  <si>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</si>
  <si>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</si>
  <si>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</si>
  <si>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</si>
  <si>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</si>
  <si>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</si>
  <si>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</si>
  <si>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</si>
  <si>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</si>
  <si>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</si>
  <si>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</si>
  <si>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</si>
  <si>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</si>
  <si>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</si>
  <si>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</si>
  <si>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中医药事务</t>
  </si>
  <si>
    <t xml:space="preserve">      中医（民族医）药专项</t>
  </si>
  <si>
    <t xml:space="preserve">      其他中医药事务支出</t>
  </si>
  <si>
    <t>21018</t>
  </si>
  <si>
    <t xml:space="preserve">    疾病预防控制事务</t>
  </si>
  <si>
    <t>2101899</t>
  </si>
  <si>
    <t xml:space="preserve">      其他疾病预防控制事务支出</t>
  </si>
  <si>
    <t>21019</t>
  </si>
  <si>
    <t xml:space="preserve">    托育服务</t>
  </si>
  <si>
    <t>2101902</t>
  </si>
  <si>
    <t xml:space="preserve">      育儿补贴</t>
  </si>
  <si>
    <t>2101999</t>
  </si>
  <si>
    <t xml:space="preserve">      其他托育服务支出</t>
  </si>
  <si>
    <t xml:space="preserve">    其他卫生健康支出</t>
  </si>
  <si>
    <t xml:space="preserve">      其他卫生健康支出</t>
  </si>
  <si>
    <t>九、节能环保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</si>
  <si>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</si>
  <si>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</si>
  <si>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</si>
  <si>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</si>
  <si>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</si>
  <si>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</si>
  <si>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</si>
  <si>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</si>
  <si>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</si>
  <si>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</si>
  <si>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</si>
  <si>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</si>
  <si>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</si>
  <si>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</si>
  <si>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</si>
  <si>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</si>
  <si>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</si>
  <si>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</si>
  <si>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</si>
  <si>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</si>
  <si>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</si>
  <si>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</si>
  <si>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</si>
  <si>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自然保护地</t>
  </si>
  <si>
    <t xml:space="preserve">      其他自然生态保护支出</t>
  </si>
  <si>
    <t xml:space="preserve">    森林保护修复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</si>
  <si>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</si>
  <si>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</si>
  <si>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</si>
  <si>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</si>
  <si>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</si>
  <si>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</si>
  <si>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</si>
  <si>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</si>
  <si>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</si>
  <si>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</si>
  <si>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</si>
  <si>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</si>
  <si>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</si>
  <si>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</si>
  <si>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</si>
  <si>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</si>
  <si>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</si>
  <si>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</si>
  <si>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</si>
  <si>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</si>
  <si>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</si>
  <si>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</si>
  <si>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</si>
  <si>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</si>
  <si>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</si>
  <si>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</si>
  <si>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</si>
  <si>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</si>
  <si>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</si>
  <si>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>十、城乡社区支出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</si>
  <si>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</si>
  <si>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</si>
  <si>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</si>
  <si>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</si>
  <si>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</si>
  <si>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</si>
  <si>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</si>
  <si>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</si>
  <si>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</si>
  <si>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</si>
  <si>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</si>
  <si>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</si>
  <si>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</si>
  <si>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</si>
  <si>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</si>
  <si>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</si>
  <si>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</si>
  <si>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</si>
  <si>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十一、农林水事务</t>
  </si>
  <si>
    <t xml:space="preserve">      农业农村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</si>
  <si>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</si>
  <si>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</si>
  <si>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</si>
  <si>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</si>
  <si>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</si>
  <si>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</si>
  <si>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</si>
  <si>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</si>
  <si>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</si>
  <si>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</si>
  <si>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</si>
  <si>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</si>
  <si>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农业生产发展</t>
  </si>
  <si>
    <t xml:space="preserve">        农村合作经济</t>
  </si>
  <si>
    <t xml:space="preserve">        农产品加工与促销</t>
  </si>
  <si>
    <t xml:space="preserve">        农村社会事业</t>
  </si>
  <si>
    <t xml:space="preserve">        农业生态资源保护</t>
  </si>
  <si>
    <t xml:space="preserve">        乡村道路建设</t>
  </si>
  <si>
    <t xml:space="preserve">        渔业发展</t>
  </si>
  <si>
    <t xml:space="preserve">        对高校毕业生到基层任职补助</t>
  </si>
  <si>
    <t xml:space="preserve">        耕地建设与利用</t>
  </si>
  <si>
    <t xml:space="preserve">        其他农业农村支出</t>
  </si>
  <si>
    <t xml:space="preserve">      林业和草原</t>
  </si>
  <si>
    <t xml:space="preserve">        事业机构</t>
  </si>
  <si>
    <t xml:space="preserve">        森林资源培育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</si>
  <si>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</si>
  <si>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</si>
  <si>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</si>
  <si>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</si>
  <si>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</si>
  <si>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</si>
  <si>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</si>
  <si>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</si>
  <si>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</si>
  <si>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</si>
  <si>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</si>
  <si>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</si>
  <si>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林业草原防灾减灾</t>
  </si>
  <si>
    <t xml:space="preserve">        草原管理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</si>
  <si>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</si>
  <si>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</si>
  <si>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</si>
  <si>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</si>
  <si>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</si>
  <si>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</si>
  <si>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</si>
  <si>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</si>
  <si>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</si>
  <si>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</si>
  <si>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</si>
  <si>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</si>
  <si>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</si>
  <si>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</si>
  <si>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农村水利</t>
  </si>
  <si>
    <t xml:space="preserve">        水利技术推广</t>
  </si>
  <si>
    <t xml:space="preserve">        国际河流治理与管理</t>
  </si>
  <si>
    <t xml:space="preserve">        江河湖库水系综合治理</t>
  </si>
  <si>
    <t xml:space="preserve">        大中型水库移民后期扶持专项支出</t>
  </si>
  <si>
    <t xml:space="preserve">        水利安全监督</t>
  </si>
  <si>
    <t xml:space="preserve">        水利建设征地及移民支出</t>
  </si>
  <si>
    <t xml:space="preserve">        农村人畜饮水</t>
  </si>
  <si>
    <t xml:space="preserve">        南水北调工程建设</t>
  </si>
  <si>
    <t xml:space="preserve">        南水北调工程管理</t>
  </si>
  <si>
    <t xml:space="preserve">        其他水利支出</t>
  </si>
  <si>
    <t xml:space="preserve">      巩固脱贫衔接乡村振兴</t>
  </si>
  <si>
    <t xml:space="preserve">        农村基础设施建设</t>
  </si>
  <si>
    <t xml:space="preserve">        生产发展</t>
  </si>
  <si>
    <t xml:space="preserve">        社会发展</t>
  </si>
  <si>
    <t xml:space="preserve">        贷款奖补和贴息</t>
  </si>
  <si>
    <t xml:space="preserve">       “三西”农业建设专项补助</t>
  </si>
  <si>
    <t xml:space="preserve">        其他巩固脱贫衔接乡村振兴支出</t>
  </si>
  <si>
    <t xml:space="preserve">      农村综合改革</t>
  </si>
  <si>
    <t xml:space="preserve">        对村级公益事业建设的补助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</si>
  <si>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</si>
  <si>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</si>
  <si>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</si>
  <si>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</si>
  <si>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</si>
  <si>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</si>
  <si>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支持农村金融机构</t>
    </r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</si>
  <si>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</si>
  <si>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</si>
  <si>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</si>
  <si>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</si>
  <si>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</si>
  <si>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</si>
  <si>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</si>
  <si>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</si>
  <si>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</si>
  <si>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其他农林水支出</t>
  </si>
  <si>
    <t>十二、交通运输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</si>
  <si>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</si>
  <si>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</si>
  <si>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</si>
  <si>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</si>
  <si>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</si>
  <si>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公路运输管理</t>
  </si>
  <si>
    <t xml:space="preserve">        公路和运输技术标准化建设</t>
  </si>
  <si>
    <t xml:space="preserve">        水运建设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</si>
  <si>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</si>
  <si>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</si>
  <si>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</si>
  <si>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</si>
  <si>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</si>
  <si>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</si>
  <si>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</si>
  <si>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</si>
  <si>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</si>
  <si>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</si>
  <si>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</si>
  <si>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</si>
  <si>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</si>
  <si>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</si>
  <si>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</si>
  <si>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</si>
  <si>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</si>
  <si>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</si>
  <si>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</si>
  <si>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</si>
  <si>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</si>
  <si>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</si>
  <si>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</si>
  <si>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</si>
  <si>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</si>
  <si>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</si>
  <si>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</si>
  <si>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</si>
  <si>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 车辆购置税用于公路等基础设施建设支出</t>
  </si>
  <si>
    <t xml:space="preserve">         车辆购置税用于农村公路建设支出</t>
  </si>
  <si>
    <t xml:space="preserve">         车辆购置税用于老旧汽车报废更新补贴</t>
  </si>
  <si>
    <t xml:space="preserve"> 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</si>
  <si>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</si>
  <si>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</si>
  <si>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</si>
  <si>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十三、资源勘探电力信息等事务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</si>
  <si>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</si>
  <si>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</si>
  <si>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</si>
  <si>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</si>
  <si>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</si>
  <si>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</si>
  <si>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</si>
  <si>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</si>
  <si>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</si>
  <si>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</si>
  <si>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</si>
  <si>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</si>
  <si>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</si>
  <si>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</si>
  <si>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</si>
  <si>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</si>
  <si>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</si>
  <si>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</si>
  <si>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</si>
  <si>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</si>
  <si>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</si>
  <si>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</si>
  <si>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</si>
  <si>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</si>
  <si>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专用通信</t>
  </si>
  <si>
    <t xml:space="preserve">        无线电及信息通信监管</t>
  </si>
  <si>
    <t xml:space="preserve">        工程建设及运行维护</t>
  </si>
  <si>
    <t xml:space="preserve">        产业发展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</si>
  <si>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</si>
  <si>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</si>
  <si>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</si>
  <si>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</si>
  <si>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</si>
  <si>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</si>
  <si>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</si>
  <si>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</si>
  <si>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其他资源勘探工业信息等支出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</si>
  <si>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</si>
  <si>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</si>
  <si>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</si>
  <si>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</si>
  <si>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其他资源勘探工业信息等支出</t>
  </si>
  <si>
    <t>十四、商业服务业等事务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</si>
  <si>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</si>
  <si>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</si>
  <si>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</si>
  <si>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</si>
  <si>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</si>
  <si>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</si>
  <si>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</si>
  <si>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</si>
  <si>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</si>
  <si>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</si>
  <si>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</si>
  <si>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</si>
  <si>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十五、金融支出</t>
  </si>
  <si>
    <t xml:space="preserve">      金融部门行政支出</t>
  </si>
  <si>
    <t xml:space="preserve">      金融发展支出</t>
  </si>
  <si>
    <t xml:space="preserve">      其他金融支出</t>
  </si>
  <si>
    <t>十六、自然资源海洋气象等事务</t>
  </si>
  <si>
    <t xml:space="preserve">      自然资源事务</t>
  </si>
  <si>
    <t xml:space="preserve">        自然资源规划及管理</t>
  </si>
  <si>
    <t xml:space="preserve">        自然资源利用与保护</t>
  </si>
  <si>
    <t xml:space="preserve">        自然资源社会公益服务</t>
  </si>
  <si>
    <t xml:space="preserve">        自然资源行业业务管理</t>
  </si>
  <si>
    <t xml:space="preserve">        自然资源调查与确权登记</t>
  </si>
  <si>
    <t xml:space="preserve">        土地资源储备支出</t>
  </si>
  <si>
    <t xml:space="preserve">        地质矿产资源与环境调查</t>
  </si>
  <si>
    <t xml:space="preserve">        地质勘察与矿产资源管理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</si>
  <si>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</si>
  <si>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</si>
  <si>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</si>
  <si>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</si>
  <si>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</si>
  <si>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</si>
  <si>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</si>
  <si>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</si>
  <si>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</si>
  <si>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</si>
  <si>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</si>
  <si>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</si>
  <si>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</si>
  <si>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</si>
  <si>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</si>
  <si>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</si>
  <si>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</si>
  <si>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t>十七、住房保障支出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</si>
  <si>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</si>
  <si>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</si>
  <si>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</si>
  <si>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</si>
  <si>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</si>
  <si>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</si>
  <si>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</si>
  <si>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</si>
  <si>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老旧小区改造</t>
  </si>
  <si>
    <t xml:space="preserve">        住房租赁市场发展</t>
  </si>
  <si>
    <t xml:space="preserve">        保障性租赁住房</t>
  </si>
  <si>
    <t>2210111</t>
  </si>
  <si>
    <t xml:space="preserve">        配租型住房保障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</si>
  <si>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</si>
  <si>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</si>
  <si>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</si>
  <si>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</si>
  <si>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</si>
  <si>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</si>
  <si>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</si>
  <si>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</si>
  <si>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</si>
  <si>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十八、粮油物资储备事务</t>
  </si>
  <si>
    <t xml:space="preserve">      粮油物资事务</t>
  </si>
  <si>
    <t xml:space="preserve">        财务和审计支出</t>
  </si>
  <si>
    <t xml:space="preserve">        信息统计</t>
  </si>
  <si>
    <t xml:space="preserve">        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</si>
  <si>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</si>
  <si>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</si>
  <si>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</si>
  <si>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</si>
  <si>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</si>
  <si>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</si>
  <si>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其他粮油物资事务支出</t>
  </si>
  <si>
    <t xml:space="preserve">      能源储备</t>
  </si>
  <si>
    <t xml:space="preserve">        石油储备</t>
  </si>
  <si>
    <t xml:space="preserve">        天然铀储备</t>
  </si>
  <si>
    <t xml:space="preserve">        煤炭储备</t>
  </si>
  <si>
    <t xml:space="preserve">        成品油储备</t>
  </si>
  <si>
    <t xml:space="preserve">        天然气储备</t>
  </si>
  <si>
    <t xml:space="preserve">        其他能源储备支出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</si>
  <si>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</si>
  <si>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</si>
  <si>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</si>
  <si>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</si>
  <si>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</si>
  <si>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</si>
  <si>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</si>
  <si>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</si>
  <si>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</si>
  <si>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</si>
  <si>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</si>
  <si>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</si>
  <si>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</si>
  <si>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</si>
  <si>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</si>
  <si>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</si>
  <si>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</si>
  <si>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应急物资储备</t>
  </si>
  <si>
    <t xml:space="preserve">        其他重要商品储备支出</t>
  </si>
  <si>
    <t>十九、灾害防治及应急管理支出</t>
  </si>
  <si>
    <t xml:space="preserve">      应急管理事务</t>
  </si>
  <si>
    <t xml:space="preserve">        灾害风险防治</t>
  </si>
  <si>
    <t xml:space="preserve">        国务院安委会专项</t>
  </si>
  <si>
    <t xml:space="preserve">        安全监管</t>
  </si>
  <si>
    <t xml:space="preserve">        应急救援</t>
  </si>
  <si>
    <t xml:space="preserve">        应急管理</t>
  </si>
  <si>
    <t xml:space="preserve">        其他应急管理支出</t>
  </si>
  <si>
    <t xml:space="preserve">      消防救援事务</t>
  </si>
  <si>
    <t xml:space="preserve">        消防应急救援</t>
  </si>
  <si>
    <t xml:space="preserve">        其他消防救援事务支出</t>
  </si>
  <si>
    <t xml:space="preserve">      矿山安全</t>
  </si>
  <si>
    <t xml:space="preserve">        矿山安全监察事务</t>
  </si>
  <si>
    <t xml:space="preserve">        矿山应急救援事务</t>
  </si>
  <si>
    <t xml:space="preserve">        其他矿山安全支出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</si>
  <si>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</si>
  <si>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</si>
  <si>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</si>
  <si>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</si>
  <si>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</si>
  <si>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</si>
  <si>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地震减灾信息管理</t>
  </si>
  <si>
    <t xml:space="preserve">        地震减灾基础管理</t>
  </si>
  <si>
    <t xml:space="preserve">        地震事业机构</t>
  </si>
  <si>
    <t xml:space="preserve">        其他地震事务支出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</si>
  <si>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</si>
  <si>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</si>
  <si>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</si>
  <si>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</si>
  <si>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 xml:space="preserve">      自然灾害救灾及恢复重建支出</t>
  </si>
  <si>
    <t xml:space="preserve">        自然灾害救灾补助</t>
  </si>
  <si>
    <t xml:space="preserve">        自然灾害灾后重建补助</t>
  </si>
  <si>
    <t xml:space="preserve">        其他自然灾害救灾及恢复重建支出</t>
  </si>
  <si>
    <t xml:space="preserve">      其他灾害防治及应急管理支出</t>
  </si>
  <si>
    <t>十九、预备费</t>
  </si>
  <si>
    <t>二十、其他支出</t>
  </si>
  <si>
    <t xml:space="preserve">        年初预留</t>
  </si>
  <si>
    <t xml:space="preserve">        其他支出</t>
  </si>
  <si>
    <t>二十一、债务还本支出</t>
  </si>
  <si>
    <t xml:space="preserve">        地方政府一般债券还本支出</t>
  </si>
  <si>
    <t xml:space="preserve">        地方政府向外国政府借款还本支出</t>
  </si>
  <si>
    <t xml:space="preserve">        地方政府向国际组织借款还本支出</t>
  </si>
  <si>
    <t xml:space="preserve">        地方政府其他一般债务还本支出</t>
  </si>
  <si>
    <t>二十二、债务付息支出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</si>
  <si>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</si>
  <si>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</si>
  <si>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</si>
  <si>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>二十三、债务发行费用支出</t>
  </si>
  <si>
    <t xml:space="preserve">        一般债务发行费用支出</t>
  </si>
  <si>
    <t>一般公共预算支出合计</t>
  </si>
  <si>
    <t>转移性支出</t>
  </si>
  <si>
    <t xml:space="preserve">  上解上级支出</t>
  </si>
  <si>
    <t xml:space="preserve">     体制上解支出</t>
  </si>
  <si>
    <t xml:space="preserve">     专项上解支出</t>
  </si>
  <si>
    <t xml:space="preserve">  补助下级支出</t>
  </si>
  <si>
    <t xml:space="preserve">     补助各县支出</t>
  </si>
  <si>
    <t xml:space="preserve">     补助各区支出</t>
  </si>
  <si>
    <t xml:space="preserve">  调出资金</t>
  </si>
  <si>
    <t xml:space="preserve">  地方政府一般债务还本支出</t>
  </si>
  <si>
    <t xml:space="preserve">  地方政府一般债务转贷支出</t>
  </si>
  <si>
    <t xml:space="preserve">  安排预算稳定调节基金</t>
  </si>
  <si>
    <t xml:space="preserve">  年终结余</t>
  </si>
  <si>
    <t xml:space="preserve">    结转下年支出专款</t>
  </si>
  <si>
    <t xml:space="preserve">    净结余</t>
  </si>
  <si>
    <t>支出合计</t>
  </si>
  <si>
    <t>鹿寨县2026年当年财力安排的一般公共预算支出预算表-经济分类科目</t>
  </si>
  <si>
    <t>金额单位：万元</t>
  </si>
  <si>
    <r>
      <rPr>
        <sz val="12"/>
        <rFont val="黑体"/>
        <charset val="134"/>
      </rPr>
      <t>政府经济分类代码</t>
    </r>
  </si>
  <si>
    <r>
      <rPr>
        <sz val="12"/>
        <rFont val="黑体"/>
        <charset val="134"/>
      </rPr>
      <t>科目</t>
    </r>
  </si>
  <si>
    <r>
      <rPr>
        <sz val="12"/>
        <rFont val="Times New Roman"/>
        <charset val="134"/>
      </rPr>
      <t>2026</t>
    </r>
    <r>
      <rPr>
        <sz val="12"/>
        <rFont val="黑体"/>
        <charset val="134"/>
      </rPr>
      <t>年预算建议数</t>
    </r>
  </si>
  <si>
    <r>
      <rPr>
        <sz val="12"/>
        <rFont val="黑体"/>
        <charset val="134"/>
      </rPr>
      <t>其中：</t>
    </r>
  </si>
  <si>
    <r>
      <rPr>
        <sz val="12"/>
        <rFont val="黑体"/>
        <charset val="134"/>
      </rPr>
      <t>基本支出</t>
    </r>
  </si>
  <si>
    <t>项目支出</t>
  </si>
  <si>
    <t>501</t>
  </si>
  <si>
    <t>一、机关工资福利支出</t>
  </si>
  <si>
    <t>50101</t>
  </si>
  <si>
    <t xml:space="preserve">        工资奖金津补贴</t>
  </si>
  <si>
    <t>50102</t>
  </si>
  <si>
    <t xml:space="preserve">        社会保障缴费</t>
  </si>
  <si>
    <t>50103</t>
  </si>
  <si>
    <t>50199</t>
  </si>
  <si>
    <t xml:space="preserve">        其他工资福利支出</t>
  </si>
  <si>
    <t>502</t>
  </si>
  <si>
    <t>二、机关商品和服务支出</t>
  </si>
  <si>
    <t>50201</t>
  </si>
  <si>
    <t xml:space="preserve">        办公经费</t>
  </si>
  <si>
    <t>50202</t>
  </si>
  <si>
    <t xml:space="preserve">        会议费</t>
  </si>
  <si>
    <t>50203</t>
  </si>
  <si>
    <t xml:space="preserve">        培训费</t>
  </si>
  <si>
    <t>50204</t>
  </si>
  <si>
    <t xml:space="preserve">        专用材料购置费</t>
  </si>
  <si>
    <t>50205</t>
  </si>
  <si>
    <t xml:space="preserve">        委托业务费</t>
  </si>
  <si>
    <t>50206</t>
  </si>
  <si>
    <t xml:space="preserve">        公务接待费</t>
  </si>
  <si>
    <t>50208</t>
  </si>
  <si>
    <t xml:space="preserve">        公务用车运行维护费</t>
  </si>
  <si>
    <t>50209</t>
  </si>
  <si>
    <t xml:space="preserve">        维修（护）费</t>
  </si>
  <si>
    <t>50299</t>
  </si>
  <si>
    <t xml:space="preserve">        其他商品和服务支出</t>
  </si>
  <si>
    <t>503</t>
  </si>
  <si>
    <t>三、机关资本性支出（一）</t>
  </si>
  <si>
    <t>50301</t>
  </si>
  <si>
    <t xml:space="preserve">        房屋建筑物购建</t>
  </si>
  <si>
    <t>50302</t>
  </si>
  <si>
    <t xml:space="preserve">        基础设施建设</t>
  </si>
  <si>
    <t>50303</t>
  </si>
  <si>
    <t xml:space="preserve">        公务用车购置</t>
  </si>
  <si>
    <t>50305</t>
  </si>
  <si>
    <t xml:space="preserve">        土地征迁补偿和安置支出</t>
  </si>
  <si>
    <t>50306</t>
  </si>
  <si>
    <t xml:space="preserve">        设备购置</t>
  </si>
  <si>
    <t>50399</t>
  </si>
  <si>
    <t xml:space="preserve">        其他资本性支出</t>
  </si>
  <si>
    <t>504</t>
  </si>
  <si>
    <t>四、机关资本性支出（二）</t>
  </si>
  <si>
    <t>50404</t>
  </si>
  <si>
    <t>50499</t>
  </si>
  <si>
    <t>505</t>
  </si>
  <si>
    <t>五、对事业单位经常性补助</t>
  </si>
  <si>
    <t>50501</t>
  </si>
  <si>
    <t xml:space="preserve">        工资福利支出</t>
  </si>
  <si>
    <t>50502</t>
  </si>
  <si>
    <t xml:space="preserve">        商品和服务支出</t>
  </si>
  <si>
    <t>50599</t>
  </si>
  <si>
    <t xml:space="preserve">        其他对事业单位补助</t>
  </si>
  <si>
    <t>506</t>
  </si>
  <si>
    <t>六、对事业单位资本性补助</t>
  </si>
  <si>
    <t>50601</t>
  </si>
  <si>
    <t xml:space="preserve">        资本性支出（一）</t>
  </si>
  <si>
    <t>50602</t>
  </si>
  <si>
    <t xml:space="preserve">        资本性支出（二）</t>
  </si>
  <si>
    <t>507</t>
  </si>
  <si>
    <t>七、对企业补助</t>
  </si>
  <si>
    <t>50701</t>
  </si>
  <si>
    <t xml:space="preserve">        费用补贴</t>
  </si>
  <si>
    <t>50702</t>
  </si>
  <si>
    <t xml:space="preserve">        利息补贴</t>
  </si>
  <si>
    <t>50799</t>
  </si>
  <si>
    <t xml:space="preserve">        其他对企业补助</t>
  </si>
  <si>
    <t>508</t>
  </si>
  <si>
    <t>八、对企业资本性支出</t>
  </si>
  <si>
    <t>50803</t>
  </si>
  <si>
    <t xml:space="preserve">        资本金注入</t>
  </si>
  <si>
    <t>509</t>
  </si>
  <si>
    <t>九、对个人和家庭的补助</t>
  </si>
  <si>
    <t>50901</t>
  </si>
  <si>
    <t xml:space="preserve">        社会福利和救助</t>
  </si>
  <si>
    <t>50902</t>
  </si>
  <si>
    <t xml:space="preserve">        助学金</t>
  </si>
  <si>
    <t>50903</t>
  </si>
  <si>
    <t xml:space="preserve">        个人农业生产补贴</t>
  </si>
  <si>
    <t>50905</t>
  </si>
  <si>
    <t xml:space="preserve">        离退休费</t>
  </si>
  <si>
    <t>50999</t>
  </si>
  <si>
    <t xml:space="preserve">        其他对个人和家庭补助</t>
  </si>
  <si>
    <t>510</t>
  </si>
  <si>
    <t>十、对社会保障基金补助</t>
  </si>
  <si>
    <t>51002</t>
  </si>
  <si>
    <t xml:space="preserve">        对社会保险基金补助</t>
  </si>
  <si>
    <t>511</t>
  </si>
  <si>
    <t>十一、债务利息及费用支出</t>
  </si>
  <si>
    <t>51101</t>
  </si>
  <si>
    <t xml:space="preserve">        国内债务付息</t>
  </si>
  <si>
    <t>51103</t>
  </si>
  <si>
    <t xml:space="preserve">        国内债务发行费用</t>
  </si>
  <si>
    <t>512</t>
  </si>
  <si>
    <t>十二、债务还本支出</t>
  </si>
  <si>
    <t>51201</t>
  </si>
  <si>
    <t xml:space="preserve">        国内债务还本</t>
  </si>
  <si>
    <t>514</t>
  </si>
  <si>
    <t>十三、预备费</t>
  </si>
  <si>
    <t>51401</t>
  </si>
  <si>
    <t xml:space="preserve">        预备费</t>
  </si>
  <si>
    <t>599</t>
  </si>
  <si>
    <t>十四、其他支出</t>
  </si>
  <si>
    <t>59999</t>
  </si>
  <si>
    <t>财力安排的一般公共预算支出合计</t>
  </si>
  <si>
    <t>上级提前下达</t>
  </si>
  <si>
    <t>鹿寨县一般公共预算转移性收入支出表(草案）</t>
  </si>
  <si>
    <r>
      <rPr>
        <sz val="12"/>
        <rFont val="黑体"/>
        <charset val="134"/>
      </rPr>
      <t>建议数</t>
    </r>
  </si>
  <si>
    <t xml:space="preserve">       科学技术共同财政事权转移支付收入</t>
  </si>
  <si>
    <t>鹿寨县2025年一般债务限额和余额情况表（草案）</t>
  </si>
  <si>
    <t xml:space="preserve">      单位：万元</t>
  </si>
  <si>
    <t>项目名称</t>
  </si>
  <si>
    <t>年初债务余额</t>
  </si>
  <si>
    <t>期末债务余额</t>
  </si>
  <si>
    <t>年度限额</t>
  </si>
  <si>
    <t>限额使用比例%</t>
  </si>
  <si>
    <t>一般债务</t>
  </si>
  <si>
    <t>鹿寨县政府性基金预算2026年收入预算(草案）</t>
  </si>
  <si>
    <t>单位:万元</t>
  </si>
  <si>
    <t>预算数</t>
  </si>
  <si>
    <t>一、政府住房基金收入</t>
  </si>
  <si>
    <t>二、国有土地使用权出让金收入</t>
  </si>
  <si>
    <t>三、国有土地收益基金收入</t>
  </si>
  <si>
    <t>四、农业土地开发资金收入</t>
  </si>
  <si>
    <t>五、城镇公用事业附加收入</t>
  </si>
  <si>
    <t>六、城市基础设施配套费收入</t>
  </si>
  <si>
    <t>七、新菜地开发建设基金收入</t>
  </si>
  <si>
    <t>八、港口建设费收入</t>
  </si>
  <si>
    <t>九、转让政府还贷道路收费权收入</t>
  </si>
  <si>
    <t>十、散装水泥专项资金收入</t>
  </si>
  <si>
    <t>十一、新型墙体材料专项基金收入</t>
  </si>
  <si>
    <t>十二、彩票公益金收入</t>
  </si>
  <si>
    <t>十三、水土保持补偿费收入</t>
  </si>
  <si>
    <t>十四、污水处理费收入</t>
  </si>
  <si>
    <t>十五、其他政府性基金收入</t>
  </si>
  <si>
    <t>十六、专项债券对应项目专项收入</t>
  </si>
  <si>
    <t>基金收入合计</t>
  </si>
  <si>
    <t xml:space="preserve">  下级上解收入</t>
  </si>
  <si>
    <t xml:space="preserve"> </t>
  </si>
  <si>
    <t>鹿寨县本级政府性基金预算2026年支出预算(草案）</t>
  </si>
  <si>
    <t>项       目</t>
  </si>
  <si>
    <t>2025年</t>
  </si>
  <si>
    <t>2026年预算</t>
  </si>
  <si>
    <t>备注</t>
  </si>
  <si>
    <t>完成预算%</t>
  </si>
  <si>
    <t>比2025年年初预算增减</t>
  </si>
  <si>
    <t>一、文化体育与传媒</t>
  </si>
  <si>
    <t xml:space="preserve">    国家电影事业发展专项资金安排的支出</t>
  </si>
  <si>
    <t xml:space="preserve">      资助国产影片放映</t>
  </si>
  <si>
    <t xml:space="preserve">      资助影院建设</t>
  </si>
  <si>
    <t xml:space="preserve">      资助少数民族电影译制</t>
  </si>
  <si>
    <t xml:space="preserve">      其他国家电影事业发展专项资金支出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</si>
  <si>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</si>
  <si>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</si>
  <si>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</si>
  <si>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</si>
  <si>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</si>
  <si>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</si>
  <si>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二、社会保障和就业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</si>
  <si>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</si>
  <si>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</si>
  <si>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</si>
  <si>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</si>
  <si>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小型水库移民扶助基金支出</t>
  </si>
  <si>
    <t xml:space="preserve">      其他小型水库移民扶助基金支出</t>
  </si>
  <si>
    <t>三、城乡社区事务</t>
  </si>
  <si>
    <t xml:space="preserve">    政府住房基金支出</t>
  </si>
  <si>
    <t xml:space="preserve">      管理费用支出</t>
  </si>
  <si>
    <t xml:space="preserve">      廉租住房支出</t>
  </si>
  <si>
    <t xml:space="preserve">      公共租赁住房支出</t>
  </si>
  <si>
    <t xml:space="preserve">      公共租赁住房维护和管理支出</t>
  </si>
  <si>
    <t xml:space="preserve">      保障性住房租金补贴</t>
  </si>
  <si>
    <t xml:space="preserve">      其他政府住房基金支出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</si>
  <si>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</si>
  <si>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</si>
  <si>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</si>
  <si>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</si>
  <si>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</si>
  <si>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</si>
  <si>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</si>
  <si>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支付破产或改制企业职工安置费</t>
  </si>
  <si>
    <t xml:space="preserve">      棚户区改造支出</t>
  </si>
  <si>
    <t xml:space="preserve">      农村生产发展支出</t>
  </si>
  <si>
    <t xml:space="preserve">      农村社会事业支出</t>
  </si>
  <si>
    <t xml:space="preserve">      农业农村生态环境支出</t>
  </si>
  <si>
    <t xml:space="preserve">      其他国有土地使用权出让收入安排的支出</t>
  </si>
  <si>
    <t xml:space="preserve">    城镇公用事业附加安排的支出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</si>
  <si>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</si>
  <si>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</si>
  <si>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</si>
  <si>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</si>
  <si>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</si>
  <si>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国有土地收益基金支出</t>
  </si>
  <si>
    <t>　    征地和拆迁补偿支出</t>
  </si>
  <si>
    <t>　    土地开发支出</t>
  </si>
  <si>
    <t>　    其他国有土地收益基金支出</t>
  </si>
  <si>
    <t xml:space="preserve">    农业土地开发资金支出</t>
  </si>
  <si>
    <t xml:space="preserve">    新增建设用地有偿使用费安排的支出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</si>
  <si>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</si>
  <si>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</si>
  <si>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</si>
  <si>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</si>
  <si>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其他新增建设用地土地有偿使用费安排的支出</t>
  </si>
  <si>
    <t xml:space="preserve">    城市基础设施配套费安排的支出</t>
  </si>
  <si>
    <t xml:space="preserve">      其他城市基础设施配套费安排的支出</t>
  </si>
  <si>
    <t xml:space="preserve">    污水处理费安排的支出</t>
  </si>
  <si>
    <t xml:space="preserve">      污水处理设施建设和运营</t>
  </si>
  <si>
    <t xml:space="preserve">      代征手续费</t>
  </si>
  <si>
    <t xml:space="preserve">      其他污水处理费安排的支出</t>
  </si>
  <si>
    <t xml:space="preserve">    土地储备专项债券收入安排的支出</t>
  </si>
  <si>
    <t xml:space="preserve">      其他土地储备专项债券收入安排的支出</t>
  </si>
  <si>
    <t xml:space="preserve">    棚户区改造专项债券收入安排的支出</t>
  </si>
  <si>
    <t xml:space="preserve">      其他棚户区改造专项债券收入安排的支出</t>
  </si>
  <si>
    <t xml:space="preserve">    国有土地使用权出让收入对应专项债务收入安排的支出</t>
  </si>
  <si>
    <t xml:space="preserve">      其他国有土地使用权出让收入对应专项债务收入安排的支出</t>
  </si>
  <si>
    <t>四、农林水事务</t>
  </si>
  <si>
    <t xml:space="preserve">    大中型水库库区基金支出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</si>
  <si>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</si>
  <si>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</si>
  <si>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</si>
  <si>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国家重大水利工程建设基金支出</t>
  </si>
  <si>
    <t xml:space="preserve">      南水北调工程建设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</si>
  <si>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</si>
  <si>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</si>
  <si>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</si>
  <si>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 xml:space="preserve">    水土保持补偿费安排的支出</t>
  </si>
  <si>
    <t xml:space="preserve">      综合治理和生态修复</t>
  </si>
  <si>
    <t xml:space="preserve">      预防保护和监督管理</t>
  </si>
  <si>
    <t xml:space="preserve">      其他水土保持补偿费安排的支出</t>
  </si>
  <si>
    <t>五、交通运输</t>
  </si>
  <si>
    <t xml:space="preserve">     港口建设费安排的支出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</si>
  <si>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</si>
  <si>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</si>
  <si>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</si>
  <si>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</si>
  <si>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其他转让政府还贷道路收费支出</t>
    </r>
  </si>
  <si>
    <t>六、资源勘探电力信息等事务</t>
  </si>
  <si>
    <t xml:space="preserve">     散装水泥专项资金支出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</si>
  <si>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</si>
  <si>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</si>
  <si>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</si>
  <si>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</si>
  <si>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</si>
  <si>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</si>
  <si>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 新型墙体材料专项基金支出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</si>
  <si>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</si>
  <si>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</si>
  <si>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</si>
  <si>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</si>
  <si>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</si>
  <si>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超长期特别国债安排的支出</t>
  </si>
  <si>
    <t xml:space="preserve">      工业和信息产业</t>
  </si>
  <si>
    <t>七、商业服务业等事务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</si>
  <si>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旅游发展基金支出</t>
    </r>
  </si>
  <si>
    <t>八、其他支出</t>
  </si>
  <si>
    <t xml:space="preserve">    其他政府性基金及对应专项债务收入安排的支出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</si>
  <si>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</si>
  <si>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</si>
  <si>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</si>
  <si>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</si>
  <si>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</si>
  <si>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</si>
  <si>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</si>
  <si>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</si>
  <si>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</si>
  <si>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</si>
  <si>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</si>
  <si>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九、债务付息支出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</si>
  <si>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地方政府专项债务付息支出</t>
    </r>
  </si>
  <si>
    <t>十、债务发行费用支出</t>
  </si>
  <si>
    <t xml:space="preserve">    地方政府专项债务发行费用支出</t>
  </si>
  <si>
    <t>十一、抗疫特别国债安排的支出</t>
  </si>
  <si>
    <t>十二、上年结转专款支出</t>
  </si>
  <si>
    <t>基金支出合计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</si>
  <si>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债务还本支出</t>
    </r>
  </si>
  <si>
    <t>支出总计</t>
  </si>
  <si>
    <t>鹿寨县政府性基金预算2026年转移支付收入支出预算(草案）</t>
  </si>
  <si>
    <t>鹿寨县2025年专项债务限额和余额情况表（草案）</t>
  </si>
  <si>
    <t>单位：万元</t>
  </si>
  <si>
    <t>专项债务</t>
  </si>
  <si>
    <r>
      <rPr>
        <sz val="18"/>
        <rFont val="方正小标宋简体"/>
        <charset val="134"/>
      </rPr>
      <t>鹿寨县本级社会保险基金预算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年预算</t>
    </r>
    <r>
      <rPr>
        <sz val="18"/>
        <rFont val="Times New Roman"/>
        <charset val="134"/>
      </rPr>
      <t>(</t>
    </r>
    <r>
      <rPr>
        <sz val="18"/>
        <rFont val="方正小标宋简体"/>
        <charset val="134"/>
      </rPr>
      <t>草案）</t>
    </r>
  </si>
  <si>
    <t>项  目</t>
  </si>
  <si>
    <t>2025年执行数</t>
  </si>
  <si>
    <t>比2025年执行数增减</t>
  </si>
  <si>
    <t>一、鹿寨县本级社会保险基金收入合计</t>
  </si>
  <si>
    <r>
      <rPr>
        <sz val="12"/>
        <color indexed="8"/>
        <rFont val="宋体"/>
        <charset val="134"/>
      </rPr>
      <t>（一）机关事业单位基本养老保险基金收入</t>
    </r>
  </si>
  <si>
    <r>
      <rPr>
        <sz val="12"/>
        <rFont val="宋体"/>
        <charset val="134"/>
      </rPr>
      <t>（二）城乡居民社会养老保险基金收入</t>
    </r>
  </si>
  <si>
    <t>二、鹿寨县本级社会保险基金支出合计</t>
  </si>
  <si>
    <r>
      <rPr>
        <sz val="12"/>
        <color indexed="8"/>
        <rFont val="宋体"/>
        <charset val="134"/>
      </rPr>
      <t>（一）机关事业单位基本养老保险基金支出</t>
    </r>
  </si>
  <si>
    <r>
      <rPr>
        <sz val="12"/>
        <rFont val="宋体"/>
        <charset val="134"/>
      </rPr>
      <t>（二）城乡居民社会养老保险基金支出</t>
    </r>
  </si>
  <si>
    <t>三、鹿寨县本级社会保险基金本年收支结余合计</t>
  </si>
  <si>
    <t>四、鹿寨县本级社会保险基金年末累计结余合计</t>
  </si>
  <si>
    <t>鹿寨县本级社会保险基金预算2026年收入预算(草案）</t>
  </si>
  <si>
    <t>（一）机关事业单位基本养老保险基金收入</t>
  </si>
  <si>
    <t>（二）城乡居民社会养老保险基金收入</t>
  </si>
  <si>
    <t>（一）机关事业单位基本养老保险基金支出</t>
  </si>
  <si>
    <t>（二）城乡居民社会养老保险基金支出</t>
  </si>
  <si>
    <t>鹿寨县本级社会保险基金预算2026年支出预算(草案）</t>
  </si>
  <si>
    <r>
      <rPr>
        <sz val="12"/>
        <rFont val="黑体"/>
        <charset val="134"/>
      </rPr>
      <t>项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目</t>
    </r>
  </si>
  <si>
    <r>
      <rPr>
        <sz val="11"/>
        <rFont val="Times New Roman"/>
        <charset val="134"/>
      </rPr>
      <t>2025</t>
    </r>
    <r>
      <rPr>
        <sz val="11"/>
        <rFont val="黑体"/>
        <charset val="134"/>
      </rPr>
      <t>年执行数</t>
    </r>
  </si>
  <si>
    <t>鹿寨县国有资本经营预算2026年收入预算(草案）</t>
  </si>
  <si>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
执行数</t>
    </r>
  </si>
  <si>
    <t>一、利润收入</t>
  </si>
  <si>
    <t xml:space="preserve">    建筑施工企业利润收入</t>
  </si>
  <si>
    <t xml:space="preserve">    其他国有资本经营预算企业利润收入</t>
  </si>
  <si>
    <t>二、股利、股息收入</t>
  </si>
  <si>
    <t xml:space="preserve">    国有控股公司股利、股息收入</t>
  </si>
  <si>
    <t xml:space="preserve">    国有参股公司股利、股息收入</t>
  </si>
  <si>
    <t xml:space="preserve">    其他国有资本经营预算企业股利、股息收入</t>
  </si>
  <si>
    <t>三、产权转让收入</t>
  </si>
  <si>
    <t xml:space="preserve">    国有独资企业产权转让收入</t>
  </si>
  <si>
    <t xml:space="preserve">    厂办大集体产权转让收入</t>
  </si>
  <si>
    <t>四、清算收入</t>
  </si>
  <si>
    <t>五、其他国有资本经营收入</t>
  </si>
  <si>
    <t>鹿寨县国有资本经营收入合计</t>
  </si>
  <si>
    <t>上级补助收入</t>
  </si>
  <si>
    <t>上年结余收入</t>
  </si>
  <si>
    <t>鹿寨县国有资本经营预算2026年支出预算(草案）</t>
  </si>
  <si>
    <t>一、社会保障和就业支出</t>
  </si>
  <si>
    <t>二、国有资本经营预算支出</t>
  </si>
  <si>
    <t>（一）  解决历史遗留问题及改革成本支出</t>
  </si>
  <si>
    <t xml:space="preserve">    厂办大集体改革支出</t>
  </si>
  <si>
    <t xml:space="preserve">    “三供一业”移交补助支出</t>
  </si>
  <si>
    <t xml:space="preserve">    国有企业退休人员社会化管理补助支出</t>
  </si>
  <si>
    <t xml:space="preserve">    国有企业改革成本支出</t>
  </si>
  <si>
    <t xml:space="preserve">    其他解决历史遗留问题及改革成本支出</t>
  </si>
  <si>
    <t xml:space="preserve"> （二） 国有企业资本金注入</t>
  </si>
  <si>
    <t xml:space="preserve">    国有经济结构调整支出</t>
  </si>
  <si>
    <t xml:space="preserve">    公益性设施投资支出</t>
  </si>
  <si>
    <t xml:space="preserve">    其他国有企业资本金注入</t>
  </si>
  <si>
    <t xml:space="preserve"> （三） 国有企业政策性补贴</t>
  </si>
  <si>
    <t xml:space="preserve"> （四） 金融国有资本经营预算支出</t>
  </si>
  <si>
    <t>国有资本经营预算支出合计</t>
  </si>
  <si>
    <t>三、转移性支出</t>
  </si>
  <si>
    <t xml:space="preserve">    国有资本经营预算转移支付支出</t>
  </si>
  <si>
    <t xml:space="preserve">    调出一般公共预算支出</t>
  </si>
  <si>
    <t xml:space="preserve">    年终结转结余</t>
  </si>
  <si>
    <t>鹿寨县本级国有资本经营预算2026年支出预算(草案）</t>
  </si>
  <si>
    <r>
      <rPr>
        <sz val="12"/>
        <color indexed="8"/>
        <rFont val="黑体"/>
        <charset val="134"/>
      </rPr>
      <t>一、社会保障和就业支出</t>
    </r>
  </si>
  <si>
    <r>
      <rPr>
        <sz val="12"/>
        <rFont val="黑体"/>
        <charset val="134"/>
      </rPr>
      <t>二、国有资本经营预算支出</t>
    </r>
  </si>
  <si>
    <r>
      <rPr>
        <sz val="12"/>
        <rFont val="黑体"/>
        <charset val="134"/>
      </rPr>
      <t>（一）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解决历史遗留问题及改革成本支出</t>
    </r>
  </si>
  <si>
    <r>
      <rPr>
        <sz val="12"/>
        <rFont val="Times New Roman"/>
        <charset val="134"/>
      </rPr>
      <t xml:space="preserve">    </t>
    </r>
    <r>
      <rPr>
        <sz val="12"/>
        <rFont val="黑体"/>
        <charset val="134"/>
      </rPr>
      <t>厂办大集体改革支出</t>
    </r>
  </si>
  <si>
    <r>
      <rPr>
        <sz val="12"/>
        <color indexed="8"/>
        <rFont val="Times New Roman"/>
        <charset val="134"/>
      </rPr>
      <t xml:space="preserve">    “</t>
    </r>
    <r>
      <rPr>
        <sz val="12"/>
        <color indexed="8"/>
        <rFont val="黑体"/>
        <charset val="134"/>
      </rPr>
      <t>三供一业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黑体"/>
        <charset val="134"/>
      </rPr>
      <t>移交补助支出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</si>
  <si>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黑体"/>
        <charset val="134"/>
      </rPr>
      <t>国有企业退休人员社会化管理补助支出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</si>
  <si>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黑体"/>
        <charset val="134"/>
      </rPr>
      <t>国有企业改革成本支出</t>
    </r>
  </si>
  <si>
    <r>
      <rPr>
        <sz val="12"/>
        <rFont val="Times New Roman"/>
        <charset val="134"/>
      </rPr>
      <t xml:space="preserve">    </t>
    </r>
    <r>
      <rPr>
        <sz val="12"/>
        <rFont val="黑体"/>
        <charset val="134"/>
      </rPr>
      <t>其他解决历史遗留问题及改革成本支出</t>
    </r>
  </si>
  <si>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（二）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国有企业资本金注入</t>
    </r>
  </si>
  <si>
    <r>
      <rPr>
        <sz val="12"/>
        <rFont val="Times New Roman"/>
        <charset val="134"/>
      </rPr>
      <t xml:space="preserve">    </t>
    </r>
    <r>
      <rPr>
        <sz val="12"/>
        <rFont val="黑体"/>
        <charset val="134"/>
      </rPr>
      <t>国有经济结构调整支出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</si>
  <si>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黑体"/>
        <charset val="134"/>
      </rPr>
      <t>公益性设施投资支出</t>
    </r>
  </si>
  <si>
    <r>
      <rPr>
        <sz val="12"/>
        <rFont val="Times New Roman"/>
        <charset val="134"/>
      </rPr>
      <t xml:space="preserve">    </t>
    </r>
    <r>
      <rPr>
        <sz val="12"/>
        <rFont val="黑体"/>
        <charset val="134"/>
      </rPr>
      <t>其他国有企业资本金注入</t>
    </r>
  </si>
  <si>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（三）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国有企业政策性补贴</t>
    </r>
  </si>
  <si>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（四）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金融国有资本经营预算支出</t>
    </r>
  </si>
  <si>
    <r>
      <rPr>
        <sz val="12"/>
        <color indexed="8"/>
        <rFont val="黑体"/>
        <charset val="134"/>
      </rPr>
      <t>国有资本经营预算支出合计</t>
    </r>
  </si>
  <si>
    <r>
      <rPr>
        <sz val="12"/>
        <rFont val="Times New Roman"/>
        <charset val="134"/>
      </rPr>
      <t xml:space="preserve">    </t>
    </r>
    <r>
      <rPr>
        <sz val="12"/>
        <rFont val="黑体"/>
        <charset val="134"/>
      </rPr>
      <t>国有资本经营预算转移支付支出</t>
    </r>
  </si>
  <si>
    <r>
      <rPr>
        <sz val="12"/>
        <rFont val="Times New Roman"/>
        <charset val="134"/>
      </rPr>
      <t xml:space="preserve">    </t>
    </r>
    <r>
      <rPr>
        <sz val="12"/>
        <rFont val="黑体"/>
        <charset val="134"/>
      </rPr>
      <t>调出一般公共预算支出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</si>
  <si>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黑体"/>
        <charset val="134"/>
      </rPr>
      <t>年终结转结余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</si>
</sst>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0.0_ "/>
    <numFmt numFmtId="178" formatCode="#,##0_ "/>
    <numFmt numFmtId="179" formatCode="0_ "/>
    <numFmt numFmtId="180" formatCode="0.0%"/>
    <numFmt numFmtId="181" formatCode="#,##0_);[Red]\(#,##0\)"/>
    <numFmt numFmtId="182" formatCode="0.00_ "/>
    <numFmt numFmtId="183" formatCode="_ * #,##0_ ;_ * \-#,##0_ ;_ * &quot;-&quot;??_ ;_ @_ "/>
  </numFmts>
  <fonts count="63"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sz val="12"/>
      <color indexed="8"/>
      <name val="宋体"/>
      <charset val="134"/>
      <scheme val="minor"/>
    </font>
    <font>
      <sz val="12"/>
      <name val="Times New Roman"/>
      <charset val="134"/>
    </font>
    <font>
      <sz val="12"/>
      <color indexed="8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indexed="8"/>
      <name val="黑体"/>
      <charset val="134"/>
    </font>
    <font>
      <sz val="14"/>
      <name val="黑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2"/>
      <name val="黑体"/>
      <charset val="0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FF0000"/>
      <name val="Times New Roman"/>
      <charset val="134"/>
    </font>
    <font>
      <b/>
      <sz val="11"/>
      <name val="Times New Roman"/>
      <charset val="134"/>
    </font>
    <font>
      <sz val="12"/>
      <color theme="1"/>
      <name val="Times New Roman"/>
      <charset val="134"/>
    </font>
    <font>
      <sz val="14"/>
      <name val="Times New Roman"/>
      <charset val="134"/>
    </font>
    <font>
      <sz val="12"/>
      <color theme="1"/>
      <name val="宋体"/>
      <charset val="134"/>
    </font>
    <font>
      <sz val="12"/>
      <color indexed="8"/>
      <name val="Times New Roman"/>
      <charset val="0"/>
    </font>
    <font>
      <sz val="12"/>
      <color rgb="FF000000"/>
      <name val="Times New Roman"/>
      <charset val="134"/>
    </font>
    <font>
      <b/>
      <sz val="18"/>
      <color indexed="8"/>
      <name val="宋体"/>
      <charset val="134"/>
    </font>
    <font>
      <sz val="11"/>
      <color indexed="8"/>
      <name val="黑体"/>
      <charset val="134"/>
    </font>
    <font>
      <sz val="16"/>
      <name val="仿宋_GB2312"/>
      <charset val="134"/>
    </font>
    <font>
      <b/>
      <sz val="36"/>
      <name val="方正小标宋简体"/>
      <charset val="134"/>
    </font>
    <font>
      <b/>
      <sz val="36"/>
      <name val="宋体"/>
      <charset val="134"/>
    </font>
    <font>
      <b/>
      <sz val="36"/>
      <name val="Times New Roman"/>
      <charset val="0"/>
    </font>
    <font>
      <sz val="24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仿宋_GB2312"/>
      <charset val="134"/>
    </font>
    <font>
      <sz val="11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8" fillId="12" borderId="16" applyNumberFormat="0" applyAlignment="0" applyProtection="0">
      <alignment vertical="center"/>
    </xf>
    <xf numFmtId="0" fontId="49" fillId="12" borderId="15" applyNumberFormat="0" applyAlignment="0" applyProtection="0">
      <alignment vertical="center"/>
    </xf>
    <xf numFmtId="0" fontId="50" fillId="13" borderId="17" applyNumberFormat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57" fillId="0" borderId="0"/>
    <xf numFmtId="0" fontId="0" fillId="0" borderId="0"/>
    <xf numFmtId="0" fontId="0" fillId="0" borderId="0"/>
    <xf numFmtId="0" fontId="0" fillId="0" borderId="0">
      <alignment vertical="center"/>
    </xf>
    <xf numFmtId="0" fontId="58" fillId="0" borderId="0"/>
    <xf numFmtId="0" fontId="0" fillId="0" borderId="0">
      <alignment vertical="center"/>
    </xf>
    <xf numFmtId="0" fontId="18" fillId="0" borderId="0">
      <alignment vertical="center"/>
    </xf>
    <xf numFmtId="0" fontId="5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1" fillId="0" borderId="0"/>
    <xf numFmtId="0" fontId="23" fillId="0" borderId="0">
      <alignment vertical="center"/>
    </xf>
    <xf numFmtId="0" fontId="21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43" fontId="0" fillId="0" borderId="0" applyFont="0" applyFill="0" applyBorder="0" applyAlignment="0" applyProtection="0">
      <alignment vertical="center"/>
    </xf>
    <xf numFmtId="0" fontId="21" fillId="0" borderId="0"/>
    <xf numFmtId="43" fontId="18" fillId="0" borderId="0" applyFont="0" applyFill="0" applyBorder="0" applyAlignment="0" applyProtection="0">
      <alignment vertical="center"/>
    </xf>
    <xf numFmtId="0" fontId="21" fillId="0" borderId="0"/>
    <xf numFmtId="43" fontId="0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42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59" fillId="0" borderId="0"/>
    <xf numFmtId="0" fontId="0" fillId="0" borderId="0"/>
    <xf numFmtId="0" fontId="0" fillId="0" borderId="0">
      <alignment vertical="center"/>
    </xf>
  </cellStyleXfs>
  <cellXfs count="5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4" fillId="0" borderId="0" xfId="68" applyFont="1" applyFill="1" applyBorder="1" applyAlignment="1">
      <alignment horizontal="center" vertical="center" wrapText="1"/>
    </xf>
    <xf numFmtId="0" fontId="4" fillId="0" borderId="0" xfId="68" applyFont="1" applyFill="1" applyBorder="1" applyAlignment="1">
      <alignment horizontal="center" vertical="center" wrapText="1"/>
    </xf>
    <xf numFmtId="177" fontId="4" fillId="0" borderId="0" xfId="68" applyNumberFormat="1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right" vertical="center" wrapText="1"/>
    </xf>
    <xf numFmtId="0" fontId="5" fillId="0" borderId="1" xfId="68" applyFont="1" applyFill="1" applyBorder="1" applyAlignment="1">
      <alignment horizontal="right" vertical="center" wrapText="1"/>
    </xf>
    <xf numFmtId="177" fontId="5" fillId="0" borderId="1" xfId="68" applyNumberFormat="1" applyFont="1" applyFill="1" applyBorder="1" applyAlignment="1">
      <alignment horizontal="right" vertical="center" wrapText="1"/>
    </xf>
    <xf numFmtId="0" fontId="2" fillId="0" borderId="2" xfId="87" applyFont="1" applyBorder="1" applyAlignment="1">
      <alignment horizontal="center" vertical="center"/>
    </xf>
    <xf numFmtId="0" fontId="2" fillId="0" borderId="3" xfId="85" applyFont="1" applyFill="1" applyBorder="1" applyAlignment="1">
      <alignment horizontal="center" vertical="center" wrapText="1"/>
    </xf>
    <xf numFmtId="0" fontId="2" fillId="0" borderId="4" xfId="85" applyFont="1" applyFill="1" applyBorder="1" applyAlignment="1">
      <alignment horizontal="center" vertical="center"/>
    </xf>
    <xf numFmtId="0" fontId="2" fillId="0" borderId="5" xfId="85" applyFont="1" applyFill="1" applyBorder="1" applyAlignment="1">
      <alignment horizontal="center" vertical="center"/>
    </xf>
    <xf numFmtId="177" fontId="2" fillId="0" borderId="6" xfId="85" applyNumberFormat="1" applyFont="1" applyFill="1" applyBorder="1" applyAlignment="1">
      <alignment horizontal="center" vertical="center"/>
    </xf>
    <xf numFmtId="0" fontId="2" fillId="0" borderId="7" xfId="85" applyFont="1" applyFill="1" applyBorder="1" applyAlignment="1">
      <alignment horizontal="center" vertical="center" wrapText="1"/>
    </xf>
    <xf numFmtId="176" fontId="2" fillId="0" borderId="3" xfId="84" applyNumberFormat="1" applyFont="1" applyFill="1" applyBorder="1" applyAlignment="1">
      <alignment horizontal="center" vertical="center" wrapText="1"/>
    </xf>
    <xf numFmtId="176" fontId="2" fillId="0" borderId="4" xfId="84" applyNumberFormat="1" applyFont="1" applyFill="1" applyBorder="1" applyAlignment="1">
      <alignment horizontal="center" vertical="center" wrapText="1"/>
    </xf>
    <xf numFmtId="177" fontId="2" fillId="0" borderId="6" xfId="84" applyNumberFormat="1" applyFont="1" applyFill="1" applyBorder="1" applyAlignment="1">
      <alignment horizontal="center" vertical="center" wrapText="1"/>
    </xf>
    <xf numFmtId="0" fontId="2" fillId="0" borderId="8" xfId="85" applyFont="1" applyFill="1" applyBorder="1" applyAlignment="1">
      <alignment horizontal="center" vertical="center" wrapText="1"/>
    </xf>
    <xf numFmtId="176" fontId="2" fillId="0" borderId="8" xfId="84" applyNumberFormat="1" applyFont="1" applyFill="1" applyBorder="1" applyAlignment="1">
      <alignment horizontal="center" vertical="center" wrapText="1"/>
    </xf>
    <xf numFmtId="178" fontId="2" fillId="0" borderId="2" xfId="84" applyNumberFormat="1" applyFont="1" applyFill="1" applyBorder="1" applyAlignment="1">
      <alignment horizontal="center" vertical="center"/>
    </xf>
    <xf numFmtId="177" fontId="6" fillId="0" borderId="2" xfId="84" applyNumberFormat="1" applyFont="1" applyFill="1" applyBorder="1" applyAlignment="1">
      <alignment horizontal="center" vertical="center"/>
    </xf>
    <xf numFmtId="0" fontId="7" fillId="0" borderId="2" xfId="69" applyFont="1" applyFill="1" applyBorder="1" applyAlignment="1">
      <alignment horizontal="left" vertical="center" wrapText="1"/>
    </xf>
    <xf numFmtId="179" fontId="6" fillId="0" borderId="2" xfId="62" applyNumberFormat="1" applyFont="1" applyFill="1" applyBorder="1" applyAlignment="1">
      <alignment horizontal="right" vertical="center"/>
    </xf>
    <xf numFmtId="177" fontId="7" fillId="0" borderId="8" xfId="67" applyNumberFormat="1" applyFont="1" applyFill="1" applyBorder="1" applyAlignment="1">
      <alignment horizontal="center" vertical="center" wrapText="1"/>
    </xf>
    <xf numFmtId="0" fontId="6" fillId="0" borderId="2" xfId="69" applyFont="1" applyFill="1" applyBorder="1" applyAlignment="1">
      <alignment horizontal="left" vertical="center" wrapText="1"/>
    </xf>
    <xf numFmtId="177" fontId="7" fillId="0" borderId="8" xfId="67" applyNumberFormat="1" applyFont="1" applyFill="1" applyBorder="1" applyAlignment="1">
      <alignment horizontal="right" vertical="center" wrapText="1"/>
    </xf>
    <xf numFmtId="179" fontId="6" fillId="0" borderId="2" xfId="78" applyNumberFormat="1" applyFont="1" applyFill="1" applyBorder="1" applyAlignment="1">
      <alignment vertical="center"/>
    </xf>
    <xf numFmtId="0" fontId="7" fillId="0" borderId="2" xfId="69" applyFont="1" applyFill="1" applyBorder="1" applyAlignment="1">
      <alignment horizontal="center" vertical="center" wrapText="1"/>
    </xf>
    <xf numFmtId="0" fontId="8" fillId="0" borderId="2" xfId="69" applyFont="1" applyFill="1" applyBorder="1" applyAlignment="1">
      <alignment horizontal="left" vertical="center" wrapText="1"/>
    </xf>
    <xf numFmtId="179" fontId="9" fillId="0" borderId="2" xfId="62" applyNumberFormat="1" applyFont="1" applyFill="1" applyBorder="1" applyAlignment="1">
      <alignment horizontal="right" vertical="center"/>
    </xf>
    <xf numFmtId="177" fontId="10" fillId="0" borderId="8" xfId="67" applyNumberFormat="1" applyFont="1" applyFill="1" applyBorder="1" applyAlignment="1">
      <alignment horizontal="right" vertical="center" wrapText="1"/>
    </xf>
    <xf numFmtId="0" fontId="7" fillId="0" borderId="4" xfId="67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0" fontId="7" fillId="0" borderId="2" xfId="67" applyFont="1" applyFill="1" applyBorder="1" applyAlignment="1">
      <alignment horizontal="center" vertical="center" wrapText="1"/>
    </xf>
    <xf numFmtId="0" fontId="11" fillId="2" borderId="2" xfId="67" applyFont="1" applyFill="1" applyBorder="1" applyAlignment="1">
      <alignment horizontal="center" vertical="center" wrapText="1"/>
    </xf>
    <xf numFmtId="179" fontId="10" fillId="0" borderId="2" xfId="67" applyNumberFormat="1" applyFont="1" applyFill="1" applyBorder="1" applyAlignment="1">
      <alignment horizontal="right" vertical="center" wrapText="1"/>
    </xf>
    <xf numFmtId="0" fontId="12" fillId="0" borderId="0" xfId="78" applyFont="1" applyFill="1"/>
    <xf numFmtId="0" fontId="12" fillId="0" borderId="0" xfId="78" applyFont="1" applyFill="1"/>
    <xf numFmtId="178" fontId="12" fillId="0" borderId="0" xfId="78" applyNumberFormat="1" applyFont="1" applyFill="1"/>
    <xf numFmtId="177" fontId="12" fillId="0" borderId="0" xfId="78" applyNumberFormat="1" applyFont="1" applyFill="1"/>
    <xf numFmtId="0" fontId="13" fillId="0" borderId="2" xfId="69" applyFont="1" applyFill="1" applyBorder="1" applyAlignment="1">
      <alignment horizontal="left" vertical="center" wrapText="1"/>
    </xf>
    <xf numFmtId="0" fontId="2" fillId="0" borderId="2" xfId="69" applyFont="1" applyFill="1" applyBorder="1" applyAlignment="1">
      <alignment horizontal="left" vertical="center" wrapText="1"/>
    </xf>
    <xf numFmtId="0" fontId="13" fillId="0" borderId="2" xfId="69" applyFont="1" applyFill="1" applyBorder="1" applyAlignment="1">
      <alignment horizontal="center" vertical="center" wrapText="1"/>
    </xf>
    <xf numFmtId="177" fontId="9" fillId="0" borderId="2" xfId="62" applyNumberFormat="1" applyFont="1" applyFill="1" applyBorder="1" applyAlignment="1">
      <alignment horizontal="right" vertical="center"/>
    </xf>
    <xf numFmtId="177" fontId="6" fillId="0" borderId="2" xfId="62" applyNumberFormat="1" applyFont="1" applyFill="1" applyBorder="1" applyAlignment="1">
      <alignment horizontal="right" vertical="center"/>
    </xf>
    <xf numFmtId="0" fontId="13" fillId="0" borderId="4" xfId="67" applyFont="1" applyFill="1" applyBorder="1" applyAlignment="1">
      <alignment horizontal="left" vertical="center" wrapText="1"/>
    </xf>
    <xf numFmtId="0" fontId="13" fillId="0" borderId="2" xfId="67" applyFont="1" applyFill="1" applyBorder="1" applyAlignment="1">
      <alignment horizontal="center" vertical="center" wrapText="1"/>
    </xf>
    <xf numFmtId="0" fontId="4" fillId="0" borderId="0" xfId="66" applyFont="1" applyFill="1" applyBorder="1" applyAlignment="1">
      <alignment horizontal="center" vertical="center" wrapText="1"/>
    </xf>
    <xf numFmtId="0" fontId="4" fillId="0" borderId="0" xfId="66" applyFont="1" applyFill="1" applyBorder="1" applyAlignment="1">
      <alignment horizontal="center" vertical="center" wrapText="1"/>
    </xf>
    <xf numFmtId="177" fontId="4" fillId="0" borderId="0" xfId="66" applyNumberFormat="1" applyFont="1" applyFill="1" applyBorder="1" applyAlignment="1">
      <alignment horizontal="center" vertical="center" wrapText="1"/>
    </xf>
    <xf numFmtId="0" fontId="14" fillId="0" borderId="0" xfId="66" applyFont="1">
      <alignment vertical="center"/>
    </xf>
    <xf numFmtId="0" fontId="14" fillId="0" borderId="1" xfId="66" applyFont="1" applyFill="1" applyBorder="1" applyAlignment="1">
      <alignment horizontal="right" vertical="center" wrapText="1"/>
    </xf>
    <xf numFmtId="0" fontId="14" fillId="0" borderId="1" xfId="66" applyFont="1" applyFill="1" applyBorder="1" applyAlignment="1">
      <alignment horizontal="right" vertical="center" wrapText="1"/>
    </xf>
    <xf numFmtId="0" fontId="14" fillId="0" borderId="1" xfId="66" applyFont="1" applyFill="1" applyBorder="1" applyAlignment="1">
      <alignment vertical="center"/>
    </xf>
    <xf numFmtId="177" fontId="14" fillId="0" borderId="1" xfId="66" applyNumberFormat="1" applyFont="1" applyFill="1" applyBorder="1" applyAlignment="1">
      <alignment vertical="center"/>
    </xf>
    <xf numFmtId="0" fontId="14" fillId="0" borderId="0" xfId="66" applyFont="1" applyBorder="1">
      <alignment vertical="center"/>
    </xf>
    <xf numFmtId="0" fontId="2" fillId="0" borderId="2" xfId="85" applyFont="1" applyBorder="1" applyAlignment="1">
      <alignment horizontal="center" vertical="center"/>
    </xf>
    <xf numFmtId="0" fontId="6" fillId="0" borderId="3" xfId="85" applyFont="1" applyFill="1" applyBorder="1" applyAlignment="1">
      <alignment horizontal="center" vertical="center" wrapText="1"/>
    </xf>
    <xf numFmtId="0" fontId="6" fillId="0" borderId="2" xfId="85" applyFont="1" applyFill="1" applyBorder="1" applyAlignment="1">
      <alignment horizontal="center" vertical="center"/>
    </xf>
    <xf numFmtId="0" fontId="2" fillId="0" borderId="2" xfId="85" applyFont="1" applyFill="1" applyBorder="1" applyAlignment="1">
      <alignment horizontal="center" vertical="center"/>
    </xf>
    <xf numFmtId="177" fontId="2" fillId="0" borderId="2" xfId="85" applyNumberFormat="1" applyFont="1" applyFill="1" applyBorder="1" applyAlignment="1">
      <alignment horizontal="center" vertical="center"/>
    </xf>
    <xf numFmtId="0" fontId="13" fillId="0" borderId="0" xfId="66" applyFont="1">
      <alignment vertical="center"/>
    </xf>
    <xf numFmtId="0" fontId="2" fillId="0" borderId="7" xfId="62" applyFont="1" applyFill="1" applyBorder="1" applyAlignment="1">
      <alignment horizontal="center" vertical="center"/>
    </xf>
    <xf numFmtId="176" fontId="2" fillId="0" borderId="2" xfId="84" applyNumberFormat="1" applyFont="1" applyFill="1" applyBorder="1" applyAlignment="1">
      <alignment horizontal="center" vertical="center" wrapText="1"/>
    </xf>
    <xf numFmtId="177" fontId="2" fillId="0" borderId="2" xfId="84" applyNumberFormat="1" applyFont="1" applyFill="1" applyBorder="1" applyAlignment="1">
      <alignment horizontal="center" vertical="center" wrapText="1"/>
    </xf>
    <xf numFmtId="0" fontId="2" fillId="0" borderId="8" xfId="62" applyFont="1" applyFill="1" applyBorder="1" applyAlignment="1">
      <alignment horizontal="center" vertical="center"/>
    </xf>
    <xf numFmtId="176" fontId="2" fillId="0" borderId="2" xfId="84" applyNumberFormat="1" applyFont="1" applyFill="1" applyBorder="1" applyAlignment="1">
      <alignment horizontal="center" vertical="center"/>
    </xf>
    <xf numFmtId="0" fontId="14" fillId="0" borderId="2" xfId="65" applyFont="1" applyFill="1" applyBorder="1" applyAlignment="1">
      <alignment horizontal="left" vertical="center" wrapText="1"/>
    </xf>
    <xf numFmtId="0" fontId="14" fillId="0" borderId="0" xfId="66" applyFont="1" applyFill="1">
      <alignment vertical="center"/>
    </xf>
    <xf numFmtId="0" fontId="15" fillId="2" borderId="2" xfId="65" applyFont="1" applyFill="1" applyBorder="1" applyAlignment="1">
      <alignment horizontal="center" vertical="center" wrapText="1"/>
    </xf>
    <xf numFmtId="0" fontId="15" fillId="0" borderId="0" xfId="66" applyFont="1">
      <alignment vertical="center"/>
    </xf>
    <xf numFmtId="0" fontId="0" fillId="0" borderId="0" xfId="77" applyFont="1"/>
    <xf numFmtId="0" fontId="0" fillId="0" borderId="0" xfId="77" applyFont="1" applyFill="1"/>
    <xf numFmtId="177" fontId="0" fillId="0" borderId="0" xfId="77" applyNumberFormat="1" applyFont="1" applyFill="1"/>
    <xf numFmtId="0" fontId="0" fillId="0" borderId="0" xfId="62" applyFont="1">
      <alignment vertical="center"/>
    </xf>
    <xf numFmtId="178" fontId="0" fillId="0" borderId="0" xfId="62" applyNumberFormat="1" applyFont="1" applyFill="1">
      <alignment vertical="center"/>
    </xf>
    <xf numFmtId="177" fontId="0" fillId="0" borderId="0" xfId="62" applyNumberFormat="1" applyFont="1" applyFill="1">
      <alignment vertical="center"/>
    </xf>
    <xf numFmtId="0" fontId="6" fillId="0" borderId="0" xfId="0" applyFont="1">
      <alignment vertical="center"/>
    </xf>
    <xf numFmtId="0" fontId="4" fillId="0" borderId="0" xfId="76" applyFont="1" applyAlignment="1">
      <alignment horizontal="center" vertical="center"/>
    </xf>
    <xf numFmtId="0" fontId="4" fillId="0" borderId="0" xfId="76" applyFont="1" applyFill="1" applyAlignment="1">
      <alignment horizontal="center" vertical="center"/>
    </xf>
    <xf numFmtId="177" fontId="4" fillId="0" borderId="0" xfId="76" applyNumberFormat="1" applyFont="1" applyFill="1" applyAlignment="1">
      <alignment horizontal="center" vertical="center"/>
    </xf>
    <xf numFmtId="0" fontId="0" fillId="0" borderId="0" xfId="76" applyFont="1" applyAlignment="1">
      <alignment vertical="center"/>
    </xf>
    <xf numFmtId="0" fontId="0" fillId="0" borderId="0" xfId="76" applyFont="1" applyFill="1" applyAlignment="1">
      <alignment vertical="center"/>
    </xf>
    <xf numFmtId="177" fontId="0" fillId="0" borderId="0" xfId="76" applyNumberFormat="1" applyFont="1" applyFill="1" applyAlignment="1">
      <alignment horizontal="right" vertical="center"/>
    </xf>
    <xf numFmtId="0" fontId="6" fillId="0" borderId="2" xfId="76" applyFont="1" applyBorder="1" applyAlignment="1">
      <alignment horizontal="center" vertical="center"/>
    </xf>
    <xf numFmtId="0" fontId="16" fillId="0" borderId="3" xfId="86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horizontal="center" vertical="center"/>
    </xf>
    <xf numFmtId="177" fontId="6" fillId="0" borderId="2" xfId="86" applyNumberFormat="1" applyFont="1" applyFill="1" applyBorder="1" applyAlignment="1">
      <alignment horizontal="center" vertical="center"/>
    </xf>
    <xf numFmtId="0" fontId="16" fillId="0" borderId="7" xfId="86" applyFont="1" applyFill="1" applyBorder="1" applyAlignment="1">
      <alignment horizontal="center" vertical="center" wrapText="1"/>
    </xf>
    <xf numFmtId="41" fontId="2" fillId="0" borderId="2" xfId="51" applyNumberFormat="1" applyFont="1" applyFill="1" applyBorder="1" applyAlignment="1">
      <alignment horizontal="center" vertical="center" wrapText="1"/>
    </xf>
    <xf numFmtId="0" fontId="2" fillId="0" borderId="2" xfId="86" applyFont="1" applyFill="1" applyBorder="1" applyAlignment="1">
      <alignment horizontal="center" vertical="center"/>
    </xf>
    <xf numFmtId="0" fontId="16" fillId="0" borderId="8" xfId="86" applyFont="1" applyFill="1" applyBorder="1" applyAlignment="1">
      <alignment horizontal="center" vertical="center" wrapText="1"/>
    </xf>
    <xf numFmtId="41" fontId="2" fillId="0" borderId="2" xfId="51" applyNumberFormat="1" applyFont="1" applyFill="1" applyBorder="1" applyAlignment="1">
      <alignment horizontal="center" vertical="center"/>
    </xf>
    <xf numFmtId="177" fontId="6" fillId="0" borderId="2" xfId="51" applyNumberFormat="1" applyFont="1" applyFill="1" applyBorder="1" applyAlignment="1">
      <alignment horizontal="center" vertical="center"/>
    </xf>
    <xf numFmtId="0" fontId="15" fillId="2" borderId="2" xfId="76" applyFont="1" applyFill="1" applyBorder="1" applyAlignment="1">
      <alignment vertical="center" wrapText="1"/>
    </xf>
    <xf numFmtId="178" fontId="9" fillId="0" borderId="2" xfId="51" applyNumberFormat="1" applyFont="1" applyFill="1" applyBorder="1" applyAlignment="1">
      <alignment horizontal="right" vertical="center"/>
    </xf>
    <xf numFmtId="179" fontId="9" fillId="0" borderId="2" xfId="51" applyNumberFormat="1" applyFont="1" applyFill="1" applyBorder="1" applyAlignment="1">
      <alignment horizontal="right" vertical="center"/>
    </xf>
    <xf numFmtId="0" fontId="14" fillId="0" borderId="2" xfId="76" applyFont="1" applyFill="1" applyBorder="1" applyAlignment="1">
      <alignment horizontal="justify" vertical="center" wrapText="1"/>
    </xf>
    <xf numFmtId="178" fontId="6" fillId="0" borderId="2" xfId="51" applyNumberFormat="1" applyFont="1" applyFill="1" applyBorder="1" applyAlignment="1">
      <alignment horizontal="right" vertical="center"/>
    </xf>
    <xf numFmtId="177" fontId="6" fillId="0" borderId="2" xfId="51" applyNumberFormat="1" applyFont="1" applyFill="1" applyBorder="1" applyAlignment="1">
      <alignment horizontal="right" vertical="center"/>
    </xf>
    <xf numFmtId="0" fontId="0" fillId="0" borderId="2" xfId="76" applyFont="1" applyFill="1" applyBorder="1" applyAlignment="1">
      <alignment horizontal="justify" vertical="center" wrapText="1"/>
    </xf>
    <xf numFmtId="0" fontId="14" fillId="2" borderId="2" xfId="76" applyFont="1" applyFill="1" applyBorder="1" applyAlignment="1">
      <alignment horizontal="justify" vertical="center" wrapText="1"/>
    </xf>
    <xf numFmtId="178" fontId="0" fillId="0" borderId="2" xfId="4" applyNumberFormat="1" applyFont="1" applyFill="1" applyBorder="1" applyAlignment="1">
      <alignment horizontal="right" vertical="center"/>
    </xf>
    <xf numFmtId="177" fontId="0" fillId="0" borderId="2" xfId="4" applyNumberFormat="1" applyFont="1" applyFill="1" applyBorder="1" applyAlignment="1">
      <alignment horizontal="right" vertical="center"/>
    </xf>
    <xf numFmtId="178" fontId="14" fillId="0" borderId="2" xfId="85" applyNumberFormat="1" applyFont="1" applyFill="1" applyBorder="1" applyAlignment="1" applyProtection="1">
      <alignment horizontal="right" vertical="center"/>
    </xf>
    <xf numFmtId="0" fontId="0" fillId="0" borderId="0" xfId="76" applyFont="1" applyBorder="1" applyAlignment="1">
      <alignment horizontal="left" vertical="center" wrapText="1"/>
    </xf>
    <xf numFmtId="0" fontId="0" fillId="0" borderId="0" xfId="76" applyFont="1" applyFill="1" applyBorder="1" applyAlignment="1">
      <alignment horizontal="left" vertical="center" wrapText="1"/>
    </xf>
    <xf numFmtId="177" fontId="0" fillId="0" borderId="0" xfId="76" applyNumberFormat="1" applyFont="1" applyFill="1" applyBorder="1" applyAlignment="1">
      <alignment horizontal="left" vertical="center" wrapText="1"/>
    </xf>
    <xf numFmtId="0" fontId="2" fillId="0" borderId="2" xfId="76" applyFont="1" applyBorder="1" applyAlignment="1">
      <alignment horizontal="center" vertical="center"/>
    </xf>
    <xf numFmtId="0" fontId="2" fillId="0" borderId="3" xfId="86" applyFont="1" applyFill="1" applyBorder="1" applyAlignment="1">
      <alignment horizontal="center" vertical="center" wrapText="1"/>
    </xf>
    <xf numFmtId="177" fontId="2" fillId="0" borderId="2" xfId="86" applyNumberFormat="1" applyFont="1" applyFill="1" applyBorder="1" applyAlignment="1">
      <alignment horizontal="center" vertical="center"/>
    </xf>
    <xf numFmtId="0" fontId="2" fillId="0" borderId="7" xfId="86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center" vertical="center" wrapText="1"/>
    </xf>
    <xf numFmtId="0" fontId="2" fillId="0" borderId="8" xfId="86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center" vertical="center"/>
    </xf>
    <xf numFmtId="0" fontId="15" fillId="2" borderId="2" xfId="76" applyFont="1" applyFill="1" applyBorder="1" applyAlignment="1">
      <alignment horizontal="justify" vertical="center" wrapText="1"/>
    </xf>
    <xf numFmtId="177" fontId="9" fillId="0" borderId="2" xfId="51" applyNumberFormat="1" applyFont="1" applyFill="1" applyBorder="1" applyAlignment="1">
      <alignment horizontal="right" vertical="center"/>
    </xf>
    <xf numFmtId="0" fontId="14" fillId="2" borderId="2" xfId="76" applyFont="1" applyFill="1" applyBorder="1" applyAlignment="1">
      <alignment vertical="center" wrapText="1"/>
    </xf>
    <xf numFmtId="178" fontId="0" fillId="0" borderId="2" xfId="4" applyNumberFormat="1" applyFont="1" applyFill="1" applyBorder="1" applyAlignment="1">
      <alignment horizontal="right" vertical="center"/>
    </xf>
    <xf numFmtId="177" fontId="0" fillId="0" borderId="2" xfId="4" applyNumberFormat="1" applyFont="1" applyFill="1" applyBorder="1" applyAlignment="1">
      <alignment horizontal="right" vertical="center"/>
    </xf>
    <xf numFmtId="0" fontId="17" fillId="0" borderId="0" xfId="76" applyFont="1" applyFill="1" applyAlignment="1">
      <alignment horizontal="center" vertical="center"/>
    </xf>
    <xf numFmtId="177" fontId="17" fillId="0" borderId="0" xfId="76" applyNumberFormat="1" applyFont="1" applyFill="1" applyAlignment="1">
      <alignment horizontal="center" vertical="center"/>
    </xf>
    <xf numFmtId="0" fontId="2" fillId="0" borderId="2" xfId="76" applyFont="1" applyFill="1" applyBorder="1" applyAlignment="1">
      <alignment horizontal="center" vertical="center"/>
    </xf>
    <xf numFmtId="0" fontId="15" fillId="0" borderId="2" xfId="76" applyFont="1" applyFill="1" applyBorder="1" applyAlignment="1">
      <alignment horizontal="justify" vertical="center" wrapText="1"/>
    </xf>
    <xf numFmtId="0" fontId="7" fillId="0" borderId="2" xfId="76" applyFont="1" applyFill="1" applyBorder="1" applyAlignment="1">
      <alignment horizontal="justify" vertical="center" wrapText="1"/>
    </xf>
    <xf numFmtId="0" fontId="6" fillId="0" borderId="2" xfId="76" applyFont="1" applyFill="1" applyBorder="1" applyAlignment="1">
      <alignment horizontal="justify" vertical="center" wrapText="1"/>
    </xf>
    <xf numFmtId="0" fontId="15" fillId="0" borderId="2" xfId="76" applyFont="1" applyFill="1" applyBorder="1" applyAlignment="1">
      <alignment vertical="center" wrapText="1"/>
    </xf>
    <xf numFmtId="178" fontId="9" fillId="0" borderId="2" xfId="86" applyNumberFormat="1" applyFont="1" applyFill="1" applyBorder="1" applyAlignment="1" applyProtection="1">
      <alignment horizontal="right" vertical="center"/>
    </xf>
    <xf numFmtId="0" fontId="2" fillId="0" borderId="0" xfId="59" applyFont="1">
      <alignment vertical="center"/>
    </xf>
    <xf numFmtId="0" fontId="18" fillId="0" borderId="0" xfId="59">
      <alignment vertical="center"/>
    </xf>
    <xf numFmtId="177" fontId="18" fillId="0" borderId="0" xfId="59" applyNumberFormat="1">
      <alignment vertical="center"/>
    </xf>
    <xf numFmtId="0" fontId="4" fillId="0" borderId="0" xfId="59" applyFont="1" applyAlignment="1">
      <alignment horizontal="center" vertical="center"/>
    </xf>
    <xf numFmtId="177" fontId="4" fillId="0" borderId="0" xfId="59" applyNumberFormat="1" applyFont="1" applyAlignment="1">
      <alignment horizontal="center" vertical="center"/>
    </xf>
    <xf numFmtId="177" fontId="2" fillId="0" borderId="0" xfId="59" applyNumberFormat="1" applyFont="1" applyAlignment="1">
      <alignment horizontal="right" vertical="center"/>
    </xf>
    <xf numFmtId="0" fontId="2" fillId="0" borderId="2" xfId="59" applyFont="1" applyBorder="1" applyAlignment="1">
      <alignment horizontal="center" vertical="center"/>
    </xf>
    <xf numFmtId="177" fontId="2" fillId="0" borderId="2" xfId="59" applyNumberFormat="1" applyFont="1" applyBorder="1" applyAlignment="1">
      <alignment horizontal="center" vertical="center"/>
    </xf>
    <xf numFmtId="0" fontId="2" fillId="0" borderId="0" xfId="59" applyFont="1" applyAlignment="1">
      <alignment horizontal="center" vertical="center"/>
    </xf>
    <xf numFmtId="0" fontId="2" fillId="0" borderId="2" xfId="59" applyFont="1" applyFill="1" applyBorder="1" applyAlignment="1">
      <alignment horizontal="center" vertical="center"/>
    </xf>
    <xf numFmtId="178" fontId="6" fillId="0" borderId="2" xfId="59" applyNumberFormat="1" applyFont="1" applyFill="1" applyBorder="1">
      <alignment vertical="center"/>
    </xf>
    <xf numFmtId="180" fontId="6" fillId="0" borderId="2" xfId="3" applyNumberFormat="1" applyFont="1" applyFill="1" applyBorder="1" applyAlignment="1" applyProtection="1">
      <alignment vertical="center"/>
    </xf>
    <xf numFmtId="0" fontId="2" fillId="0" borderId="0" xfId="59" applyFon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179" fontId="4" fillId="0" borderId="0" xfId="1" applyNumberFormat="1" applyFont="1" applyFill="1" applyAlignment="1">
      <alignment horizontal="center" vertical="center"/>
    </xf>
    <xf numFmtId="179" fontId="4" fillId="0" borderId="0" xfId="1" applyNumberFormat="1" applyFont="1" applyFill="1" applyAlignment="1">
      <alignment horizontal="center" vertical="center"/>
    </xf>
    <xf numFmtId="177" fontId="4" fillId="0" borderId="0" xfId="1" applyNumberFormat="1" applyFont="1" applyFill="1" applyAlignment="1">
      <alignment horizontal="center" vertical="center"/>
    </xf>
    <xf numFmtId="179" fontId="4" fillId="0" borderId="0" xfId="1" applyNumberFormat="1" applyFont="1" applyFill="1" applyAlignment="1">
      <alignment horizontal="center" vertical="center"/>
    </xf>
    <xf numFmtId="0" fontId="0" fillId="0" borderId="0" xfId="72" applyFont="1"/>
    <xf numFmtId="179" fontId="0" fillId="0" borderId="0" xfId="1" applyNumberFormat="1" applyFont="1" applyFill="1" applyAlignment="1">
      <alignment horizontal="left" vertical="center"/>
    </xf>
    <xf numFmtId="179" fontId="0" fillId="0" borderId="0" xfId="1" applyNumberFormat="1" applyFont="1" applyFill="1" applyAlignment="1">
      <alignment horizontal="left" vertical="center"/>
    </xf>
    <xf numFmtId="179" fontId="0" fillId="0" borderId="0" xfId="1" applyNumberFormat="1" applyFont="1" applyFill="1" applyAlignment="1">
      <alignment horizontal="center" vertical="center"/>
    </xf>
    <xf numFmtId="177" fontId="0" fillId="0" borderId="0" xfId="1" applyNumberFormat="1" applyFont="1" applyFill="1" applyAlignment="1">
      <alignment horizontal="center" vertical="center"/>
    </xf>
    <xf numFmtId="179" fontId="0" fillId="0" borderId="0" xfId="1" applyNumberFormat="1" applyFont="1" applyFill="1" applyAlignment="1">
      <alignment horizontal="center" vertical="center"/>
    </xf>
    <xf numFmtId="179" fontId="6" fillId="0" borderId="2" xfId="1" applyNumberFormat="1" applyFont="1" applyFill="1" applyBorder="1" applyAlignment="1">
      <alignment horizontal="center" vertical="center"/>
    </xf>
    <xf numFmtId="179" fontId="6" fillId="0" borderId="4" xfId="1" applyNumberFormat="1" applyFont="1" applyFill="1" applyBorder="1" applyAlignment="1">
      <alignment horizontal="center" vertical="center"/>
    </xf>
    <xf numFmtId="179" fontId="6" fillId="0" borderId="5" xfId="1" applyNumberFormat="1" applyFont="1" applyFill="1" applyBorder="1" applyAlignment="1">
      <alignment horizontal="center" vertical="center"/>
    </xf>
    <xf numFmtId="177" fontId="6" fillId="0" borderId="5" xfId="1" applyNumberFormat="1" applyFont="1" applyFill="1" applyBorder="1" applyAlignment="1">
      <alignment horizontal="center" vertical="center"/>
    </xf>
    <xf numFmtId="179" fontId="6" fillId="0" borderId="5" xfId="1" applyNumberFormat="1" applyFont="1" applyFill="1" applyBorder="1" applyAlignment="1">
      <alignment horizontal="center" vertical="center"/>
    </xf>
    <xf numFmtId="177" fontId="6" fillId="0" borderId="6" xfId="1" applyNumberFormat="1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horizontal="center" vertical="center"/>
    </xf>
    <xf numFmtId="177" fontId="6" fillId="0" borderId="2" xfId="1" applyNumberFormat="1" applyFont="1" applyFill="1" applyBorder="1" applyAlignment="1">
      <alignment horizontal="center" vertical="center"/>
    </xf>
    <xf numFmtId="0" fontId="6" fillId="0" borderId="0" xfId="72" applyFont="1"/>
    <xf numFmtId="179" fontId="6" fillId="0" borderId="3" xfId="1" applyNumberFormat="1" applyFont="1" applyFill="1" applyBorder="1" applyAlignment="1">
      <alignment horizontal="center" vertical="center"/>
    </xf>
    <xf numFmtId="177" fontId="6" fillId="0" borderId="3" xfId="1" applyNumberFormat="1" applyFont="1" applyFill="1" applyBorder="1" applyAlignment="1">
      <alignment horizontal="center" vertical="center"/>
    </xf>
    <xf numFmtId="179" fontId="6" fillId="0" borderId="4" xfId="1" applyNumberFormat="1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horizontal="center" vertical="center" wrapText="1"/>
    </xf>
    <xf numFmtId="179" fontId="2" fillId="0" borderId="2" xfId="1" applyNumberFormat="1" applyFont="1" applyFill="1" applyBorder="1" applyAlignment="1">
      <alignment horizontal="center" vertical="center"/>
    </xf>
    <xf numFmtId="179" fontId="6" fillId="0" borderId="8" xfId="1" applyNumberFormat="1" applyFont="1" applyFill="1" applyBorder="1" applyAlignment="1">
      <alignment horizontal="center" vertical="center"/>
    </xf>
    <xf numFmtId="177" fontId="6" fillId="0" borderId="8" xfId="1" applyNumberFormat="1" applyFont="1" applyFill="1" applyBorder="1" applyAlignment="1">
      <alignment horizontal="center" vertical="center"/>
    </xf>
    <xf numFmtId="179" fontId="19" fillId="2" borderId="2" xfId="1" applyNumberFormat="1" applyFont="1" applyFill="1" applyBorder="1" applyAlignment="1" applyProtection="1">
      <alignment horizontal="left" vertical="center"/>
      <protection locked="0"/>
    </xf>
    <xf numFmtId="179" fontId="9" fillId="0" borderId="2" xfId="63" applyNumberFormat="1" applyFont="1" applyFill="1" applyBorder="1" applyAlignment="1">
      <alignment horizontal="right" vertical="center"/>
    </xf>
    <xf numFmtId="178" fontId="9" fillId="0" borderId="2" xfId="63" applyNumberFormat="1" applyFont="1" applyFill="1" applyBorder="1" applyAlignment="1">
      <alignment horizontal="right" vertical="center"/>
    </xf>
    <xf numFmtId="177" fontId="9" fillId="0" borderId="2" xfId="63" applyNumberFormat="1" applyFont="1" applyFill="1" applyBorder="1" applyAlignment="1">
      <alignment horizontal="right" vertical="center"/>
    </xf>
    <xf numFmtId="0" fontId="3" fillId="0" borderId="0" xfId="72" applyFont="1"/>
    <xf numFmtId="179" fontId="20" fillId="0" borderId="2" xfId="1" applyNumberFormat="1" applyFont="1" applyFill="1" applyBorder="1" applyAlignment="1" applyProtection="1">
      <alignment horizontal="left" vertical="center"/>
      <protection locked="0"/>
    </xf>
    <xf numFmtId="179" fontId="6" fillId="0" borderId="2" xfId="63" applyNumberFormat="1" applyFont="1" applyFill="1" applyBorder="1" applyAlignment="1">
      <alignment horizontal="right" vertical="center"/>
    </xf>
    <xf numFmtId="178" fontId="6" fillId="0" borderId="2" xfId="63" applyNumberFormat="1" applyFont="1" applyFill="1" applyBorder="1" applyAlignment="1">
      <alignment horizontal="right" vertical="center"/>
    </xf>
    <xf numFmtId="177" fontId="6" fillId="0" borderId="2" xfId="63" applyNumberFormat="1" applyFont="1" applyFill="1" applyBorder="1" applyAlignment="1">
      <alignment horizontal="right" vertical="center"/>
    </xf>
    <xf numFmtId="179" fontId="3" fillId="2" borderId="2" xfId="1" applyNumberFormat="1" applyFont="1" applyFill="1" applyBorder="1" applyAlignment="1" applyProtection="1">
      <alignment vertical="center"/>
      <protection locked="0"/>
    </xf>
    <xf numFmtId="179" fontId="10" fillId="0" borderId="2" xfId="1" applyNumberFormat="1" applyFont="1" applyFill="1" applyBorder="1" applyAlignment="1">
      <alignment horizontal="right" vertical="center"/>
    </xf>
    <xf numFmtId="178" fontId="10" fillId="0" borderId="2" xfId="1" applyNumberFormat="1" applyFont="1" applyFill="1" applyBorder="1" applyAlignment="1">
      <alignment horizontal="right" vertical="center"/>
    </xf>
    <xf numFmtId="179" fontId="0" fillId="0" borderId="2" xfId="1" applyNumberFormat="1" applyFont="1" applyFill="1" applyBorder="1" applyAlignment="1" applyProtection="1">
      <alignment vertical="center"/>
      <protection locked="0"/>
    </xf>
    <xf numFmtId="179" fontId="7" fillId="0" borderId="2" xfId="63" applyNumberFormat="1" applyFont="1" applyFill="1" applyBorder="1" applyAlignment="1">
      <alignment horizontal="right"/>
    </xf>
    <xf numFmtId="181" fontId="7" fillId="0" borderId="2" xfId="63" applyNumberFormat="1" applyFont="1" applyFill="1" applyBorder="1" applyAlignment="1">
      <alignment horizontal="right"/>
    </xf>
    <xf numFmtId="179" fontId="7" fillId="0" borderId="2" xfId="1" applyNumberFormat="1" applyFont="1" applyFill="1" applyBorder="1" applyAlignment="1">
      <alignment horizontal="right" vertical="center"/>
    </xf>
    <xf numFmtId="178" fontId="6" fillId="0" borderId="2" xfId="1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182" fontId="6" fillId="0" borderId="0" xfId="0" applyNumberFormat="1" applyFont="1" applyFill="1">
      <alignment vertical="center"/>
    </xf>
    <xf numFmtId="177" fontId="6" fillId="0" borderId="0" xfId="0" applyNumberFormat="1" applyFont="1" applyFill="1">
      <alignment vertical="center"/>
    </xf>
    <xf numFmtId="182" fontId="6" fillId="0" borderId="0" xfId="0" applyNumberFormat="1" applyFont="1" applyFill="1">
      <alignment vertical="center"/>
    </xf>
    <xf numFmtId="179" fontId="4" fillId="0" borderId="0" xfId="1" applyNumberFormat="1" applyFont="1" applyFill="1" applyAlignment="1">
      <alignment horizontal="center"/>
    </xf>
    <xf numFmtId="179" fontId="6" fillId="0" borderId="0" xfId="1" applyNumberFormat="1" applyFont="1" applyFill="1" applyAlignment="1">
      <alignment horizontal="center"/>
    </xf>
    <xf numFmtId="182" fontId="6" fillId="0" borderId="0" xfId="1" applyNumberFormat="1" applyFont="1" applyFill="1" applyAlignment="1">
      <alignment horizontal="center"/>
    </xf>
    <xf numFmtId="177" fontId="6" fillId="0" borderId="0" xfId="1" applyNumberFormat="1" applyFont="1" applyFill="1" applyAlignment="1">
      <alignment horizontal="center"/>
    </xf>
    <xf numFmtId="182" fontId="6" fillId="0" borderId="0" xfId="1" applyNumberFormat="1" applyFont="1" applyFill="1" applyAlignment="1">
      <alignment horizontal="center"/>
    </xf>
    <xf numFmtId="179" fontId="6" fillId="0" borderId="0" xfId="1" applyNumberFormat="1" applyFont="1" applyFill="1" applyAlignment="1">
      <alignment horizontal="center"/>
    </xf>
    <xf numFmtId="0" fontId="21" fillId="0" borderId="0" xfId="74"/>
    <xf numFmtId="179" fontId="0" fillId="0" borderId="0" xfId="1" applyNumberFormat="1" applyFont="1" applyFill="1" applyAlignment="1"/>
    <xf numFmtId="179" fontId="6" fillId="0" borderId="0" xfId="1" applyNumberFormat="1" applyFont="1" applyFill="1" applyAlignment="1"/>
    <xf numFmtId="177" fontId="0" fillId="0" borderId="0" xfId="1" applyNumberFormat="1" applyFont="1" applyFill="1" applyAlignment="1">
      <alignment horizontal="right"/>
    </xf>
    <xf numFmtId="179" fontId="2" fillId="0" borderId="2" xfId="1" applyNumberFormat="1" applyFont="1" applyFill="1" applyBorder="1" applyAlignment="1">
      <alignment horizontal="center" vertical="center"/>
    </xf>
    <xf numFmtId="179" fontId="2" fillId="0" borderId="2" xfId="1" applyNumberFormat="1" applyFont="1" applyFill="1" applyBorder="1" applyAlignment="1">
      <alignment horizontal="center" vertical="center"/>
    </xf>
    <xf numFmtId="182" fontId="2" fillId="0" borderId="2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82" fontId="2" fillId="0" borderId="2" xfId="1" applyNumberFormat="1" applyFont="1" applyFill="1" applyBorder="1" applyAlignment="1">
      <alignment horizontal="center" vertical="center"/>
    </xf>
    <xf numFmtId="0" fontId="22" fillId="0" borderId="0" xfId="74" applyFont="1"/>
    <xf numFmtId="177" fontId="2" fillId="0" borderId="2" xfId="1" applyNumberFormat="1" applyFont="1" applyFill="1" applyBorder="1" applyAlignment="1">
      <alignment horizontal="center" vertical="center" wrapText="1"/>
    </xf>
    <xf numFmtId="182" fontId="2" fillId="0" borderId="2" xfId="1" applyNumberFormat="1" applyFont="1" applyFill="1" applyBorder="1" applyAlignment="1">
      <alignment horizontal="center" vertical="center" wrapText="1"/>
    </xf>
    <xf numFmtId="179" fontId="2" fillId="0" borderId="2" xfId="1" applyNumberFormat="1" applyFont="1" applyFill="1" applyBorder="1" applyAlignment="1">
      <alignment horizontal="center" vertical="center" wrapText="1"/>
    </xf>
    <xf numFmtId="179" fontId="2" fillId="0" borderId="2" xfId="1" applyNumberFormat="1" applyFont="1" applyFill="1" applyBorder="1" applyAlignment="1">
      <alignment horizontal="center" vertical="center" wrapText="1"/>
    </xf>
    <xf numFmtId="0" fontId="2" fillId="0" borderId="2" xfId="85" applyFont="1" applyFill="1" applyBorder="1" applyAlignment="1">
      <alignment vertical="center" wrapText="1"/>
    </xf>
    <xf numFmtId="179" fontId="0" fillId="2" borderId="2" xfId="1" applyNumberFormat="1" applyFont="1" applyFill="1" applyBorder="1" applyAlignment="1" applyProtection="1">
      <alignment vertical="center"/>
      <protection locked="0"/>
    </xf>
    <xf numFmtId="179" fontId="7" fillId="0" borderId="2" xfId="63" applyNumberFormat="1" applyFont="1" applyFill="1" applyBorder="1" applyAlignment="1">
      <alignment horizontal="right" vertical="center"/>
    </xf>
    <xf numFmtId="177" fontId="7" fillId="0" borderId="2" xfId="63" applyNumberFormat="1" applyFont="1" applyFill="1" applyBorder="1" applyAlignment="1">
      <alignment horizontal="right" vertical="center"/>
    </xf>
    <xf numFmtId="179" fontId="6" fillId="0" borderId="2" xfId="1" applyNumberFormat="1" applyFont="1" applyFill="1" applyBorder="1" applyAlignment="1">
      <alignment horizontal="right" vertical="center"/>
    </xf>
    <xf numFmtId="3" fontId="20" fillId="3" borderId="2" xfId="85" applyNumberFormat="1" applyFont="1" applyFill="1" applyBorder="1" applyAlignment="1" applyProtection="1">
      <alignment horizontal="left" vertical="center"/>
    </xf>
    <xf numFmtId="3" fontId="20" fillId="0" borderId="2" xfId="85" applyNumberFormat="1" applyFont="1" applyFill="1" applyBorder="1" applyAlignment="1" applyProtection="1">
      <alignment horizontal="left" vertical="center"/>
    </xf>
    <xf numFmtId="179" fontId="6" fillId="0" borderId="2" xfId="64" applyNumberFormat="1" applyFont="1" applyFill="1" applyBorder="1" applyAlignment="1">
      <alignment horizontal="right" vertical="center"/>
    </xf>
    <xf numFmtId="3" fontId="20" fillId="4" borderId="2" xfId="85" applyNumberFormat="1" applyFont="1" applyFill="1" applyBorder="1" applyAlignment="1" applyProtection="1">
      <alignment horizontal="left" vertical="center"/>
    </xf>
    <xf numFmtId="179" fontId="7" fillId="0" borderId="2" xfId="64" applyNumberFormat="1" applyFont="1" applyFill="1" applyBorder="1" applyAlignment="1">
      <alignment horizontal="right" vertical="center"/>
    </xf>
    <xf numFmtId="0" fontId="21" fillId="0" borderId="0" xfId="74" applyFill="1"/>
    <xf numFmtId="0" fontId="20" fillId="0" borderId="2" xfId="85" applyFont="1" applyBorder="1" applyAlignment="1">
      <alignment horizontal="left" vertical="center"/>
    </xf>
    <xf numFmtId="179" fontId="6" fillId="0" borderId="2" xfId="1" applyNumberFormat="1" applyFont="1" applyFill="1" applyBorder="1" applyAlignment="1">
      <alignment horizontal="right" vertical="center"/>
    </xf>
    <xf numFmtId="3" fontId="20" fillId="4" borderId="2" xfId="85" applyNumberFormat="1" applyFont="1" applyFill="1" applyBorder="1" applyAlignment="1" applyProtection="1">
      <alignment vertical="center"/>
    </xf>
    <xf numFmtId="0" fontId="23" fillId="0" borderId="2" xfId="85" applyFont="1" applyBorder="1" applyAlignment="1">
      <alignment horizontal="left" vertical="center"/>
    </xf>
    <xf numFmtId="179" fontId="7" fillId="0" borderId="2" xfId="64" applyNumberFormat="1" applyFont="1" applyFill="1" applyBorder="1" applyAlignment="1">
      <alignment horizontal="right" vertical="center"/>
    </xf>
    <xf numFmtId="179" fontId="24" fillId="0" borderId="0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  <xf numFmtId="0" fontId="0" fillId="0" borderId="0" xfId="74" applyFont="1"/>
    <xf numFmtId="0" fontId="20" fillId="0" borderId="2" xfId="85" applyFont="1" applyFill="1" applyBorder="1" applyAlignment="1">
      <alignment horizontal="left" vertical="center"/>
    </xf>
    <xf numFmtId="179" fontId="25" fillId="0" borderId="2" xfId="64" applyNumberFormat="1" applyFont="1" applyFill="1" applyBorder="1" applyAlignment="1">
      <alignment horizontal="right" vertical="center"/>
    </xf>
    <xf numFmtId="0" fontId="20" fillId="4" borderId="2" xfId="85" applyFont="1" applyFill="1" applyBorder="1" applyAlignment="1">
      <alignment horizontal="left" vertical="center"/>
    </xf>
    <xf numFmtId="0" fontId="20" fillId="4" borderId="2" xfId="85" applyFont="1" applyFill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20" fillId="0" borderId="2" xfId="85" applyFont="1" applyBorder="1" applyAlignment="1">
      <alignment vertical="center"/>
    </xf>
    <xf numFmtId="179" fontId="0" fillId="4" borderId="2" xfId="1" applyNumberFormat="1" applyFont="1" applyFill="1" applyBorder="1" applyAlignment="1" applyProtection="1">
      <alignment horizontal="left" vertical="center"/>
    </xf>
    <xf numFmtId="179" fontId="0" fillId="0" borderId="2" xfId="1" applyNumberFormat="1" applyFont="1" applyFill="1" applyBorder="1" applyAlignment="1" applyProtection="1">
      <alignment horizontal="left" vertical="center"/>
    </xf>
    <xf numFmtId="179" fontId="0" fillId="2" borderId="2" xfId="1" applyNumberFormat="1" applyFont="1" applyFill="1" applyBorder="1" applyAlignment="1" applyProtection="1">
      <alignment horizontal="left" vertical="center"/>
    </xf>
    <xf numFmtId="0" fontId="20" fillId="2" borderId="2" xfId="85" applyFont="1" applyFill="1" applyBorder="1" applyAlignment="1">
      <alignment horizontal="left" vertical="center"/>
    </xf>
    <xf numFmtId="179" fontId="3" fillId="2" borderId="2" xfId="1" applyNumberFormat="1" applyFont="1" applyFill="1" applyBorder="1" applyAlignment="1" applyProtection="1">
      <alignment horizontal="center" vertical="center"/>
      <protection locked="0"/>
    </xf>
    <xf numFmtId="179" fontId="9" fillId="0" borderId="2" xfId="1" applyNumberFormat="1" applyFont="1" applyFill="1" applyBorder="1" applyAlignment="1" applyProtection="1">
      <alignment horizontal="right" vertical="center"/>
      <protection locked="0"/>
    </xf>
    <xf numFmtId="177" fontId="10" fillId="0" borderId="2" xfId="63" applyNumberFormat="1" applyFont="1" applyFill="1" applyBorder="1" applyAlignment="1">
      <alignment horizontal="right" vertical="center"/>
    </xf>
    <xf numFmtId="179" fontId="10" fillId="0" borderId="2" xfId="63" applyNumberFormat="1" applyFont="1" applyFill="1" applyBorder="1" applyAlignment="1">
      <alignment horizontal="right" vertical="center"/>
    </xf>
    <xf numFmtId="179" fontId="9" fillId="0" borderId="2" xfId="1" applyNumberFormat="1" applyFont="1" applyFill="1" applyBorder="1" applyAlignment="1">
      <alignment horizontal="right" vertical="center"/>
    </xf>
    <xf numFmtId="0" fontId="3" fillId="0" borderId="0" xfId="74" applyFont="1"/>
    <xf numFmtId="179" fontId="10" fillId="0" borderId="2" xfId="1" applyNumberFormat="1" applyFont="1" applyFill="1" applyBorder="1" applyAlignment="1">
      <alignment horizontal="right" vertical="center"/>
    </xf>
    <xf numFmtId="179" fontId="9" fillId="0" borderId="2" xfId="1" applyNumberFormat="1" applyFont="1" applyFill="1" applyBorder="1" applyAlignment="1">
      <alignment horizontal="right" vertical="center"/>
    </xf>
    <xf numFmtId="179" fontId="6" fillId="0" borderId="2" xfId="85" applyNumberFormat="1" applyFont="1" applyFill="1" applyBorder="1" applyAlignment="1">
      <alignment horizontal="right" vertical="center" wrapText="1"/>
    </xf>
    <xf numFmtId="179" fontId="6" fillId="0" borderId="2" xfId="85" applyNumberFormat="1" applyFont="1" applyFill="1" applyBorder="1" applyAlignment="1">
      <alignment horizontal="right" vertical="center" wrapText="1"/>
    </xf>
    <xf numFmtId="179" fontId="9" fillId="0" borderId="2" xfId="1" applyNumberFormat="1" applyFont="1" applyFill="1" applyBorder="1" applyAlignment="1" applyProtection="1">
      <alignment horizontal="right" vertical="center"/>
      <protection locked="0"/>
    </xf>
    <xf numFmtId="177" fontId="0" fillId="0" borderId="0" xfId="1" applyNumberFormat="1" applyFont="1" applyFill="1" applyAlignment="1">
      <alignment horizontal="right"/>
    </xf>
    <xf numFmtId="0" fontId="2" fillId="0" borderId="2" xfId="85" applyFont="1" applyFill="1" applyBorder="1" applyAlignment="1">
      <alignment vertical="center" wrapText="1"/>
    </xf>
    <xf numFmtId="179" fontId="6" fillId="0" borderId="2" xfId="63" applyNumberFormat="1" applyFont="1" applyFill="1" applyBorder="1" applyAlignment="1">
      <alignment horizontal="right" vertical="center"/>
    </xf>
    <xf numFmtId="179" fontId="7" fillId="0" borderId="2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Alignment="1">
      <alignment horizontal="center"/>
    </xf>
    <xf numFmtId="0" fontId="0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179" fontId="2" fillId="0" borderId="3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9" fontId="2" fillId="0" borderId="4" xfId="1" applyNumberFormat="1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horizontal="right" vertical="center"/>
    </xf>
    <xf numFmtId="179" fontId="16" fillId="0" borderId="2" xfId="63" applyNumberFormat="1" applyFont="1" applyFill="1" applyBorder="1" applyAlignment="1">
      <alignment vertical="center"/>
    </xf>
    <xf numFmtId="179" fontId="16" fillId="0" borderId="2" xfId="63" applyNumberFormat="1" applyFont="1" applyFill="1" applyBorder="1" applyAlignment="1">
      <alignment horizontal="right" vertical="center"/>
    </xf>
    <xf numFmtId="179" fontId="19" fillId="2" borderId="2" xfId="1" applyNumberFormat="1" applyFont="1" applyFill="1" applyBorder="1" applyAlignment="1" applyProtection="1">
      <alignment horizontal="center" vertical="center"/>
      <protection locked="0"/>
    </xf>
    <xf numFmtId="179" fontId="26" fillId="0" borderId="2" xfId="1" applyNumberFormat="1" applyFont="1" applyFill="1" applyBorder="1" applyAlignment="1" applyProtection="1">
      <alignment horizontal="right" vertical="center"/>
      <protection locked="0"/>
    </xf>
    <xf numFmtId="177" fontId="9" fillId="0" borderId="2" xfId="1" applyNumberFormat="1" applyFont="1" applyFill="1" applyBorder="1" applyAlignment="1">
      <alignment horizontal="right" vertical="center"/>
    </xf>
    <xf numFmtId="179" fontId="26" fillId="0" borderId="2" xfId="63" applyNumberFormat="1" applyFont="1" applyFill="1" applyBorder="1" applyAlignment="1">
      <alignment horizontal="right" vertical="center"/>
    </xf>
    <xf numFmtId="178" fontId="26" fillId="0" borderId="2" xfId="63" applyNumberFormat="1" applyFont="1" applyFill="1" applyBorder="1" applyAlignment="1">
      <alignment horizontal="right" vertical="center"/>
    </xf>
    <xf numFmtId="0" fontId="18" fillId="0" borderId="0" xfId="59" applyFill="1">
      <alignment vertical="center"/>
    </xf>
    <xf numFmtId="0" fontId="2" fillId="0" borderId="0" xfId="59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0" fontId="4" fillId="0" borderId="0" xfId="67" applyFont="1" applyFill="1" applyAlignment="1">
      <alignment horizontal="center" vertical="center"/>
    </xf>
    <xf numFmtId="178" fontId="6" fillId="0" borderId="0" xfId="67" applyNumberFormat="1" applyFont="1" applyFill="1" applyAlignment="1">
      <alignment horizontal="right"/>
    </xf>
    <xf numFmtId="177" fontId="6" fillId="0" borderId="0" xfId="67" applyNumberFormat="1" applyFont="1" applyFill="1" applyAlignment="1">
      <alignment horizontal="right"/>
    </xf>
    <xf numFmtId="178" fontId="6" fillId="0" borderId="0" xfId="67" applyNumberFormat="1" applyFont="1" applyFill="1" applyAlignment="1">
      <alignment horizontal="right"/>
    </xf>
    <xf numFmtId="0" fontId="0" fillId="0" borderId="0" xfId="67" applyFont="1" applyFill="1"/>
    <xf numFmtId="31" fontId="0" fillId="0" borderId="0" xfId="67" applyNumberFormat="1" applyFont="1" applyFill="1" applyAlignment="1">
      <alignment horizontal="left" vertical="center"/>
    </xf>
    <xf numFmtId="178" fontId="0" fillId="0" borderId="1" xfId="67" applyNumberFormat="1" applyFont="1" applyFill="1" applyBorder="1" applyAlignment="1">
      <alignment horizontal="right"/>
    </xf>
    <xf numFmtId="177" fontId="6" fillId="0" borderId="1" xfId="67" applyNumberFormat="1" applyFont="1" applyFill="1" applyBorder="1" applyAlignment="1">
      <alignment horizontal="right"/>
    </xf>
    <xf numFmtId="0" fontId="6" fillId="0" borderId="2" xfId="67" applyFont="1" applyFill="1" applyBorder="1" applyAlignment="1">
      <alignment horizontal="center" vertical="center" wrapText="1"/>
    </xf>
    <xf numFmtId="178" fontId="6" fillId="0" borderId="2" xfId="67" applyNumberFormat="1" applyFont="1" applyFill="1" applyBorder="1" applyAlignment="1">
      <alignment horizontal="center" vertical="center" wrapText="1"/>
    </xf>
    <xf numFmtId="177" fontId="6" fillId="0" borderId="2" xfId="67" applyNumberFormat="1" applyFont="1" applyFill="1" applyBorder="1" applyAlignment="1">
      <alignment horizontal="center" vertical="center" wrapText="1"/>
    </xf>
    <xf numFmtId="178" fontId="6" fillId="0" borderId="2" xfId="67" applyNumberFormat="1" applyFont="1" applyFill="1" applyBorder="1" applyAlignment="1">
      <alignment horizontal="center" vertical="center" wrapText="1"/>
    </xf>
    <xf numFmtId="0" fontId="6" fillId="0" borderId="0" xfId="67" applyFont="1" applyFill="1" applyAlignment="1">
      <alignment horizontal="center"/>
    </xf>
    <xf numFmtId="178" fontId="6" fillId="0" borderId="3" xfId="67" applyNumberFormat="1" applyFont="1" applyFill="1" applyBorder="1" applyAlignment="1">
      <alignment horizontal="center" vertical="center" wrapText="1"/>
    </xf>
    <xf numFmtId="178" fontId="2" fillId="0" borderId="2" xfId="67" applyNumberFormat="1" applyFont="1" applyFill="1" applyBorder="1" applyAlignment="1">
      <alignment horizontal="center" vertical="center" wrapText="1"/>
    </xf>
    <xf numFmtId="178" fontId="6" fillId="0" borderId="8" xfId="67" applyNumberFormat="1" applyFont="1" applyFill="1" applyBorder="1" applyAlignment="1">
      <alignment horizontal="center" vertical="center" wrapText="1"/>
    </xf>
    <xf numFmtId="0" fontId="19" fillId="0" borderId="2" xfId="67" applyFont="1" applyFill="1" applyBorder="1" applyAlignment="1" applyProtection="1">
      <alignment vertical="center" wrapText="1"/>
      <protection locked="0"/>
    </xf>
    <xf numFmtId="178" fontId="9" fillId="0" borderId="2" xfId="1" applyNumberFormat="1" applyFont="1" applyFill="1" applyBorder="1" applyAlignment="1">
      <alignment horizontal="right" vertical="center"/>
    </xf>
    <xf numFmtId="177" fontId="9" fillId="0" borderId="2" xfId="85" applyNumberFormat="1" applyFont="1" applyFill="1" applyBorder="1" applyAlignment="1">
      <alignment horizontal="right" vertical="center"/>
    </xf>
    <xf numFmtId="178" fontId="9" fillId="0" borderId="2" xfId="85" applyNumberFormat="1" applyFont="1" applyFill="1" applyBorder="1" applyAlignment="1">
      <alignment horizontal="right" vertical="center"/>
    </xf>
    <xf numFmtId="178" fontId="9" fillId="0" borderId="2" xfId="1" applyNumberFormat="1" applyFont="1" applyFill="1" applyBorder="1" applyAlignment="1">
      <alignment vertical="center"/>
    </xf>
    <xf numFmtId="0" fontId="3" fillId="0" borderId="0" xfId="67" applyFont="1" applyFill="1"/>
    <xf numFmtId="0" fontId="20" fillId="0" borderId="2" xfId="67" applyFont="1" applyFill="1" applyBorder="1" applyAlignment="1" applyProtection="1">
      <alignment vertical="center" wrapText="1"/>
      <protection locked="0"/>
    </xf>
    <xf numFmtId="177" fontId="6" fillId="0" borderId="2" xfId="85" applyNumberFormat="1" applyFont="1" applyFill="1" applyBorder="1" applyAlignment="1">
      <alignment horizontal="right" vertical="center"/>
    </xf>
    <xf numFmtId="178" fontId="6" fillId="0" borderId="2" xfId="85" applyNumberFormat="1" applyFont="1" applyFill="1" applyBorder="1" applyAlignment="1">
      <alignment horizontal="right" vertical="center"/>
    </xf>
    <xf numFmtId="183" fontId="6" fillId="0" borderId="2" xfId="1" applyNumberFormat="1" applyFont="1" applyFill="1" applyBorder="1" applyAlignment="1">
      <alignment vertical="center"/>
    </xf>
    <xf numFmtId="178" fontId="6" fillId="0" borderId="2" xfId="1" applyNumberFormat="1" applyFont="1" applyFill="1" applyBorder="1" applyAlignment="1">
      <alignment vertical="center"/>
    </xf>
    <xf numFmtId="183" fontId="27" fillId="0" borderId="2" xfId="1" applyNumberFormat="1" applyFont="1" applyFill="1" applyBorder="1" applyAlignment="1">
      <alignment vertical="center"/>
    </xf>
    <xf numFmtId="178" fontId="9" fillId="0" borderId="2" xfId="85" applyNumberFormat="1" applyFont="1" applyFill="1" applyBorder="1" applyAlignment="1" applyProtection="1">
      <alignment horizontal="right" vertical="center" wrapText="1"/>
      <protection locked="0"/>
    </xf>
    <xf numFmtId="178" fontId="9" fillId="0" borderId="2" xfId="85" applyNumberFormat="1" applyFont="1" applyFill="1" applyBorder="1" applyAlignment="1" applyProtection="1">
      <alignment vertical="center" wrapText="1"/>
      <protection locked="0"/>
    </xf>
    <xf numFmtId="0" fontId="20" fillId="0" borderId="2" xfId="85" applyFont="1" applyFill="1" applyBorder="1" applyAlignment="1" applyProtection="1">
      <alignment vertical="center" wrapText="1"/>
      <protection locked="0"/>
    </xf>
    <xf numFmtId="178" fontId="6" fillId="0" borderId="2" xfId="85" applyNumberFormat="1" applyFont="1" applyFill="1" applyBorder="1" applyAlignment="1">
      <alignment vertical="center"/>
    </xf>
    <xf numFmtId="0" fontId="20" fillId="0" borderId="2" xfId="67" applyFont="1" applyFill="1" applyBorder="1" applyAlignment="1">
      <alignment vertical="center" wrapText="1"/>
    </xf>
    <xf numFmtId="178" fontId="6" fillId="0" borderId="2" xfId="67" applyNumberFormat="1" applyFont="1" applyFill="1" applyBorder="1" applyAlignment="1">
      <alignment horizontal="right" vertical="center"/>
    </xf>
    <xf numFmtId="178" fontId="6" fillId="0" borderId="2" xfId="67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0" fontId="20" fillId="0" borderId="2" xfId="67" applyFont="1" applyFill="1" applyBorder="1" applyAlignment="1">
      <alignment horizontal="left" vertical="center" wrapText="1"/>
    </xf>
    <xf numFmtId="0" fontId="20" fillId="0" borderId="0" xfId="67" applyFont="1" applyFill="1"/>
    <xf numFmtId="0" fontId="19" fillId="0" borderId="2" xfId="85" applyFont="1" applyFill="1" applyBorder="1" applyAlignment="1" applyProtection="1">
      <alignment horizontal="center" vertical="center" wrapText="1"/>
      <protection locked="0"/>
    </xf>
    <xf numFmtId="0" fontId="19" fillId="0" borderId="0" xfId="67" applyFont="1" applyFill="1"/>
    <xf numFmtId="0" fontId="19" fillId="0" borderId="2" xfId="85" applyFont="1" applyFill="1" applyBorder="1" applyAlignment="1" applyProtection="1">
      <alignment horizontal="left" vertical="center" wrapText="1"/>
      <protection locked="0"/>
    </xf>
    <xf numFmtId="1" fontId="20" fillId="0" borderId="2" xfId="85" applyNumberFormat="1" applyFont="1" applyFill="1" applyBorder="1" applyAlignment="1" applyProtection="1">
      <alignment horizontal="left" vertical="center" wrapText="1"/>
      <protection locked="0"/>
    </xf>
    <xf numFmtId="178" fontId="6" fillId="0" borderId="2" xfId="85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85" applyFont="1" applyFill="1" applyBorder="1" applyAlignment="1">
      <alignment vertical="center" wrapText="1"/>
    </xf>
    <xf numFmtId="178" fontId="6" fillId="0" borderId="2" xfId="1" applyNumberFormat="1" applyFont="1" applyFill="1" applyBorder="1" applyAlignment="1">
      <alignment horizontal="right" vertical="center" wrapText="1"/>
    </xf>
    <xf numFmtId="178" fontId="6" fillId="0" borderId="2" xfId="1" applyNumberFormat="1" applyFont="1" applyFill="1" applyBorder="1" applyAlignment="1">
      <alignment vertical="center" wrapText="1"/>
    </xf>
    <xf numFmtId="0" fontId="20" fillId="0" borderId="2" xfId="85" applyNumberFormat="1" applyFont="1" applyFill="1" applyBorder="1" applyAlignment="1" applyProtection="1">
      <alignment vertical="center" wrapText="1"/>
      <protection locked="0"/>
    </xf>
    <xf numFmtId="3" fontId="20" fillId="0" borderId="0" xfId="67" applyNumberFormat="1" applyFont="1" applyFill="1"/>
    <xf numFmtId="178" fontId="6" fillId="0" borderId="2" xfId="0" applyNumberFormat="1" applyFont="1" applyFill="1" applyBorder="1" applyAlignment="1">
      <alignment horizontal="right" vertical="center"/>
    </xf>
    <xf numFmtId="178" fontId="6" fillId="0" borderId="2" xfId="0" applyNumberFormat="1" applyFont="1" applyFill="1" applyBorder="1" applyAlignment="1">
      <alignment vertical="center"/>
    </xf>
    <xf numFmtId="178" fontId="27" fillId="0" borderId="0" xfId="0" applyNumberFormat="1" applyFont="1" applyFill="1" applyAlignment="1">
      <alignment horizontal="right" vertical="center"/>
    </xf>
    <xf numFmtId="178" fontId="27" fillId="0" borderId="0" xfId="0" applyNumberFormat="1" applyFont="1" applyFill="1" applyAlignment="1">
      <alignment vertical="center"/>
    </xf>
    <xf numFmtId="41" fontId="20" fillId="0" borderId="2" xfId="85" applyNumberFormat="1" applyFont="1" applyFill="1" applyBorder="1" applyAlignment="1">
      <alignment vertical="center" wrapText="1"/>
    </xf>
    <xf numFmtId="41" fontId="20" fillId="0" borderId="2" xfId="85" applyNumberFormat="1" applyFont="1" applyFill="1" applyBorder="1" applyAlignment="1">
      <alignment horizontal="center" vertical="center" wrapText="1"/>
    </xf>
    <xf numFmtId="41" fontId="20" fillId="0" borderId="2" xfId="85" applyNumberFormat="1" applyFont="1" applyFill="1" applyBorder="1" applyAlignment="1">
      <alignment horizontal="left" vertical="center" wrapText="1"/>
    </xf>
    <xf numFmtId="178" fontId="27" fillId="0" borderId="2" xfId="85" applyNumberFormat="1" applyFont="1" applyFill="1" applyBorder="1" applyAlignment="1" applyProtection="1">
      <alignment horizontal="right" vertical="center" wrapText="1"/>
      <protection locked="0"/>
    </xf>
    <xf numFmtId="178" fontId="6" fillId="0" borderId="2" xfId="85" applyNumberFormat="1" applyFont="1" applyFill="1" applyBorder="1" applyAlignment="1" applyProtection="1">
      <alignment horizontal="right" vertical="center"/>
    </xf>
    <xf numFmtId="178" fontId="6" fillId="0" borderId="2" xfId="85" applyNumberFormat="1" applyFont="1" applyFill="1" applyBorder="1" applyAlignment="1" applyProtection="1">
      <alignment vertical="center"/>
    </xf>
    <xf numFmtId="0" fontId="20" fillId="0" borderId="2" xfId="85" applyFont="1" applyFill="1" applyBorder="1" applyAlignment="1" applyProtection="1">
      <alignment horizontal="left" vertical="center" wrapText="1"/>
      <protection locked="0"/>
    </xf>
    <xf numFmtId="1" fontId="19" fillId="2" borderId="2" xfId="85" applyNumberFormat="1" applyFont="1" applyFill="1" applyBorder="1" applyAlignment="1" applyProtection="1">
      <alignment vertical="center" wrapText="1"/>
      <protection locked="0"/>
    </xf>
    <xf numFmtId="178" fontId="6" fillId="0" borderId="2" xfId="85" applyNumberFormat="1" applyFont="1" applyFill="1" applyBorder="1" applyAlignment="1">
      <alignment horizontal="right"/>
    </xf>
    <xf numFmtId="1" fontId="20" fillId="0" borderId="2" xfId="85" applyNumberFormat="1" applyFont="1" applyFill="1" applyBorder="1" applyAlignment="1" applyProtection="1">
      <alignment vertical="center" wrapText="1"/>
      <protection locked="0"/>
    </xf>
    <xf numFmtId="178" fontId="6" fillId="0" borderId="2" xfId="4" applyNumberFormat="1" applyFont="1" applyFill="1" applyBorder="1" applyAlignment="1" applyProtection="1">
      <alignment horizontal="right" vertical="center"/>
      <protection locked="0"/>
    </xf>
    <xf numFmtId="178" fontId="6" fillId="0" borderId="2" xfId="4" applyNumberFormat="1" applyFont="1" applyFill="1" applyBorder="1" applyAlignment="1">
      <alignment horizontal="right"/>
    </xf>
    <xf numFmtId="178" fontId="6" fillId="0" borderId="2" xfId="4" applyNumberFormat="1" applyFont="1" applyFill="1" applyBorder="1" applyAlignment="1">
      <alignment horizontal="right" vertical="center"/>
    </xf>
    <xf numFmtId="0" fontId="20" fillId="0" borderId="0" xfId="67" applyFont="1" applyFill="1" applyAlignment="1">
      <alignment vertical="center" wrapText="1"/>
    </xf>
    <xf numFmtId="178" fontId="6" fillId="0" borderId="0" xfId="67" applyNumberFormat="1" applyFont="1" applyFill="1" applyAlignment="1">
      <alignment horizontal="right" wrapText="1"/>
    </xf>
    <xf numFmtId="178" fontId="9" fillId="0" borderId="0" xfId="67" applyNumberFormat="1" applyFont="1" applyFill="1" applyAlignment="1">
      <alignment horizontal="right"/>
    </xf>
    <xf numFmtId="0" fontId="0" fillId="0" borderId="0" xfId="67" applyFont="1" applyFill="1" applyAlignment="1">
      <alignment vertical="center" wrapText="1"/>
    </xf>
    <xf numFmtId="0" fontId="0" fillId="0" borderId="0" xfId="67" applyFont="1" applyFill="1" applyAlignment="1">
      <alignment vertical="center"/>
    </xf>
    <xf numFmtId="0" fontId="6" fillId="0" borderId="0" xfId="0" applyFont="1" applyFill="1">
      <alignment vertical="center"/>
    </xf>
    <xf numFmtId="178" fontId="6" fillId="0" borderId="0" xfId="0" applyNumberFormat="1" applyFont="1" applyFill="1">
      <alignment vertical="center"/>
    </xf>
    <xf numFmtId="49" fontId="4" fillId="0" borderId="0" xfId="57" applyNumberFormat="1" applyFont="1" applyFill="1" applyAlignment="1">
      <alignment horizontal="center" vertical="center" wrapText="1"/>
    </xf>
    <xf numFmtId="49" fontId="4" fillId="0" borderId="0" xfId="57" applyNumberFormat="1" applyFont="1" applyFill="1" applyAlignment="1">
      <alignment horizontal="center" vertical="center" wrapText="1"/>
    </xf>
    <xf numFmtId="49" fontId="28" fillId="0" borderId="0" xfId="57" applyNumberFormat="1" applyFont="1" applyFill="1" applyAlignment="1">
      <alignment vertical="center" wrapText="1"/>
    </xf>
    <xf numFmtId="49" fontId="12" fillId="0" borderId="0" xfId="57" applyNumberFormat="1" applyFont="1" applyFill="1" applyAlignment="1">
      <alignment vertical="center" wrapText="1"/>
    </xf>
    <xf numFmtId="178" fontId="6" fillId="0" borderId="0" xfId="57" applyNumberFormat="1" applyFont="1" applyFill="1" applyAlignment="1">
      <alignment vertical="center" wrapText="1"/>
    </xf>
    <xf numFmtId="178" fontId="1" fillId="0" borderId="1" xfId="57" applyNumberFormat="1" applyFont="1" applyFill="1" applyBorder="1" applyAlignment="1">
      <alignment horizontal="right" vertical="center" wrapText="1"/>
    </xf>
    <xf numFmtId="49" fontId="6" fillId="0" borderId="3" xfId="57" applyNumberFormat="1" applyFont="1" applyFill="1" applyBorder="1" applyAlignment="1">
      <alignment horizontal="center" vertical="center" wrapText="1"/>
    </xf>
    <xf numFmtId="178" fontId="6" fillId="0" borderId="3" xfId="57" applyNumberFormat="1" applyFont="1" applyFill="1" applyBorder="1" applyAlignment="1">
      <alignment horizontal="center" vertical="center" wrapText="1"/>
    </xf>
    <xf numFmtId="178" fontId="6" fillId="0" borderId="4" xfId="57" applyNumberFormat="1" applyFont="1" applyFill="1" applyBorder="1" applyAlignment="1">
      <alignment horizontal="center" vertical="center" wrapText="1"/>
    </xf>
    <xf numFmtId="178" fontId="6" fillId="0" borderId="6" xfId="57" applyNumberFormat="1" applyFont="1" applyFill="1" applyBorder="1" applyAlignment="1">
      <alignment horizontal="center" vertical="center" wrapText="1"/>
    </xf>
    <xf numFmtId="49" fontId="6" fillId="0" borderId="8" xfId="57" applyNumberFormat="1" applyFont="1" applyFill="1" applyBorder="1" applyAlignment="1">
      <alignment horizontal="center" vertical="center" wrapText="1"/>
    </xf>
    <xf numFmtId="178" fontId="6" fillId="0" borderId="8" xfId="57" applyNumberFormat="1" applyFont="1" applyFill="1" applyBorder="1" applyAlignment="1">
      <alignment horizontal="center" vertical="center" wrapText="1"/>
    </xf>
    <xf numFmtId="178" fontId="6" fillId="0" borderId="2" xfId="57" applyNumberFormat="1" applyFont="1" applyFill="1" applyBorder="1" applyAlignment="1">
      <alignment horizontal="center" vertical="center" wrapText="1"/>
    </xf>
    <xf numFmtId="178" fontId="2" fillId="0" borderId="2" xfId="57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center"/>
    </xf>
    <xf numFmtId="49" fontId="0" fillId="0" borderId="2" xfId="0" applyNumberForma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24" fillId="0" borderId="9" xfId="0" applyNumberFormat="1" applyFont="1" applyFill="1" applyBorder="1" applyAlignment="1" applyProtection="1">
      <alignment horizontal="right" vertical="center"/>
    </xf>
    <xf numFmtId="3" fontId="29" fillId="0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178" fontId="9" fillId="0" borderId="2" xfId="0" applyNumberFormat="1" applyFont="1" applyFill="1" applyBorder="1" applyAlignment="1" applyProtection="1">
      <alignment horizontal="right" vertical="center"/>
    </xf>
    <xf numFmtId="178" fontId="25" fillId="0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>
      <alignment vertical="center"/>
    </xf>
    <xf numFmtId="49" fontId="4" fillId="0" borderId="0" xfId="70" applyNumberFormat="1" applyFont="1" applyFill="1" applyAlignment="1">
      <alignment horizontal="center"/>
    </xf>
    <xf numFmtId="0" fontId="4" fillId="0" borderId="0" xfId="70" applyFont="1" applyFill="1" applyAlignment="1">
      <alignment horizontal="center"/>
    </xf>
    <xf numFmtId="178" fontId="6" fillId="0" borderId="0" xfId="70" applyNumberFormat="1" applyFont="1" applyFill="1" applyAlignment="1">
      <alignment horizontal="right"/>
    </xf>
    <xf numFmtId="178" fontId="6" fillId="0" borderId="0" xfId="70" applyNumberFormat="1" applyFont="1" applyFill="1" applyAlignment="1">
      <alignment horizontal="right"/>
    </xf>
    <xf numFmtId="177" fontId="6" fillId="0" borderId="0" xfId="70" applyNumberFormat="1" applyFont="1" applyFill="1" applyAlignment="1">
      <alignment horizontal="right"/>
    </xf>
    <xf numFmtId="49" fontId="1" fillId="0" borderId="0" xfId="70" applyNumberFormat="1" applyFont="1" applyFill="1" applyAlignment="1">
      <alignment horizontal="left"/>
    </xf>
    <xf numFmtId="31" fontId="1" fillId="0" borderId="0" xfId="70" applyNumberFormat="1" applyFont="1" applyFill="1" applyAlignment="1">
      <alignment horizontal="left"/>
    </xf>
    <xf numFmtId="178" fontId="6" fillId="0" borderId="0" xfId="4" applyNumberFormat="1" applyFont="1" applyFill="1" applyAlignment="1">
      <alignment horizontal="right"/>
    </xf>
    <xf numFmtId="177" fontId="6" fillId="0" borderId="0" xfId="4" applyNumberFormat="1" applyFont="1" applyFill="1" applyAlignment="1">
      <alignment horizontal="right"/>
    </xf>
    <xf numFmtId="178" fontId="0" fillId="0" borderId="1" xfId="70" applyNumberFormat="1" applyFont="1" applyFill="1" applyBorder="1" applyAlignment="1">
      <alignment horizontal="right"/>
    </xf>
    <xf numFmtId="177" fontId="6" fillId="0" borderId="1" xfId="70" applyNumberFormat="1" applyFont="1" applyFill="1" applyBorder="1" applyAlignment="1">
      <alignment horizontal="right"/>
    </xf>
    <xf numFmtId="49" fontId="2" fillId="0" borderId="2" xfId="70" applyNumberFormat="1" applyFont="1" applyFill="1" applyBorder="1" applyAlignment="1">
      <alignment horizontal="center" vertical="center" wrapText="1"/>
    </xf>
    <xf numFmtId="0" fontId="2" fillId="0" borderId="2" xfId="70" applyFont="1" applyFill="1" applyBorder="1" applyAlignment="1">
      <alignment horizontal="center" vertical="center" wrapText="1"/>
    </xf>
    <xf numFmtId="178" fontId="6" fillId="0" borderId="2" xfId="70" applyNumberFormat="1" applyFont="1" applyFill="1" applyBorder="1" applyAlignment="1">
      <alignment horizontal="center" vertical="center" wrapText="1"/>
    </xf>
    <xf numFmtId="178" fontId="6" fillId="0" borderId="2" xfId="70" applyNumberFormat="1" applyFont="1" applyFill="1" applyBorder="1" applyAlignment="1">
      <alignment horizontal="center" vertical="center"/>
    </xf>
    <xf numFmtId="177" fontId="6" fillId="0" borderId="2" xfId="70" applyNumberFormat="1" applyFont="1" applyFill="1" applyBorder="1" applyAlignment="1">
      <alignment horizontal="center" vertical="center"/>
    </xf>
    <xf numFmtId="178" fontId="6" fillId="0" borderId="2" xfId="70" applyNumberFormat="1" applyFont="1" applyFill="1" applyBorder="1" applyAlignment="1">
      <alignment horizontal="center" vertical="center"/>
    </xf>
    <xf numFmtId="49" fontId="6" fillId="0" borderId="2" xfId="70" applyNumberFormat="1" applyFont="1" applyFill="1" applyBorder="1" applyAlignment="1">
      <alignment horizontal="center" vertical="center" wrapText="1"/>
    </xf>
    <xf numFmtId="0" fontId="6" fillId="0" borderId="2" xfId="70" applyFont="1" applyFill="1" applyBorder="1" applyAlignment="1">
      <alignment horizontal="center" vertical="center" wrapText="1"/>
    </xf>
    <xf numFmtId="178" fontId="2" fillId="0" borderId="2" xfId="4" applyNumberFormat="1" applyFont="1" applyFill="1" applyBorder="1" applyAlignment="1">
      <alignment horizontal="center" vertical="center"/>
    </xf>
    <xf numFmtId="177" fontId="2" fillId="0" borderId="2" xfId="4" applyNumberFormat="1" applyFont="1" applyFill="1" applyBorder="1" applyAlignment="1">
      <alignment horizontal="center" vertical="center" wrapText="1"/>
    </xf>
    <xf numFmtId="178" fontId="2" fillId="0" borderId="2" xfId="70" applyNumberFormat="1" applyFont="1" applyFill="1" applyBorder="1" applyAlignment="1">
      <alignment horizontal="center" vertical="center"/>
    </xf>
    <xf numFmtId="178" fontId="2" fillId="0" borderId="2" xfId="70" applyNumberFormat="1" applyFont="1" applyFill="1" applyBorder="1" applyAlignment="1">
      <alignment horizontal="center" vertical="center"/>
    </xf>
    <xf numFmtId="178" fontId="2" fillId="0" borderId="2" xfId="70" applyNumberFormat="1" applyFont="1" applyFill="1" applyBorder="1" applyAlignment="1">
      <alignment horizontal="center" vertical="center" wrapText="1"/>
    </xf>
    <xf numFmtId="177" fontId="6" fillId="0" borderId="2" xfId="70" applyNumberFormat="1" applyFont="1" applyFill="1" applyBorder="1" applyAlignment="1">
      <alignment horizontal="center" vertical="center" wrapText="1"/>
    </xf>
    <xf numFmtId="178" fontId="6" fillId="0" borderId="2" xfId="4" applyNumberFormat="1" applyFont="1" applyFill="1" applyBorder="1" applyAlignment="1">
      <alignment horizontal="center" vertical="center"/>
    </xf>
    <xf numFmtId="182" fontId="6" fillId="0" borderId="2" xfId="4" applyNumberFormat="1" applyFont="1" applyFill="1" applyBorder="1" applyAlignment="1">
      <alignment horizontal="center" vertical="center" wrapText="1"/>
    </xf>
    <xf numFmtId="182" fontId="6" fillId="0" borderId="2" xfId="7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9" fillId="5" borderId="2" xfId="85" applyNumberFormat="1" applyFont="1" applyFill="1" applyBorder="1" applyAlignment="1">
      <alignment horizontal="left" vertical="center"/>
    </xf>
    <xf numFmtId="0" fontId="19" fillId="5" borderId="2" xfId="85" applyFont="1" applyFill="1" applyBorder="1" applyAlignment="1">
      <alignment vertical="center"/>
    </xf>
    <xf numFmtId="177" fontId="6" fillId="0" borderId="2" xfId="4" applyNumberFormat="1" applyFont="1" applyFill="1" applyBorder="1" applyAlignment="1">
      <alignment horizontal="right"/>
    </xf>
    <xf numFmtId="0" fontId="0" fillId="3" borderId="0" xfId="0" applyFill="1">
      <alignment vertical="center"/>
    </xf>
    <xf numFmtId="49" fontId="6" fillId="6" borderId="2" xfId="85" applyNumberFormat="1" applyFont="1" applyFill="1" applyBorder="1" applyAlignment="1" applyProtection="1">
      <alignment horizontal="left" vertical="center"/>
      <protection locked="0"/>
    </xf>
    <xf numFmtId="179" fontId="20" fillId="6" borderId="2" xfId="85" applyNumberFormat="1" applyFont="1" applyFill="1" applyBorder="1" applyAlignment="1" applyProtection="1">
      <alignment horizontal="left" vertical="center"/>
      <protection locked="0"/>
    </xf>
    <xf numFmtId="49" fontId="6" fillId="0" borderId="2" xfId="85" applyNumberFormat="1" applyFont="1" applyFill="1" applyBorder="1" applyAlignment="1" applyProtection="1">
      <alignment horizontal="left" vertical="center"/>
      <protection locked="0"/>
    </xf>
    <xf numFmtId="179" fontId="20" fillId="0" borderId="2" xfId="85" applyNumberFormat="1" applyFont="1" applyFill="1" applyBorder="1" applyAlignment="1" applyProtection="1">
      <alignment horizontal="left" vertical="center"/>
      <protection locked="0"/>
    </xf>
    <xf numFmtId="178" fontId="30" fillId="0" borderId="9" xfId="0" applyNumberFormat="1" applyFont="1" applyFill="1" applyBorder="1" applyAlignment="1" applyProtection="1">
      <alignment horizontal="right" vertical="center" wrapText="1"/>
    </xf>
    <xf numFmtId="177" fontId="20" fillId="0" borderId="2" xfId="85" applyNumberFormat="1" applyFont="1" applyFill="1" applyBorder="1" applyAlignment="1" applyProtection="1">
      <alignment horizontal="left" vertical="center"/>
      <protection locked="0"/>
    </xf>
    <xf numFmtId="0" fontId="20" fillId="0" borderId="2" xfId="85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horizontal="right" vertical="center"/>
    </xf>
    <xf numFmtId="177" fontId="20" fillId="0" borderId="2" xfId="85" applyNumberFormat="1" applyFont="1" applyFill="1" applyBorder="1" applyAlignment="1" applyProtection="1">
      <alignment horizontal="left" vertical="center" wrapText="1"/>
      <protection locked="0"/>
    </xf>
    <xf numFmtId="178" fontId="31" fillId="0" borderId="10" xfId="0" applyNumberFormat="1" applyFont="1" applyFill="1" applyBorder="1" applyAlignment="1">
      <alignment horizontal="right" vertical="center"/>
    </xf>
    <xf numFmtId="177" fontId="20" fillId="6" borderId="2" xfId="85" applyNumberFormat="1" applyFont="1" applyFill="1" applyBorder="1" applyAlignment="1" applyProtection="1">
      <alignment horizontal="left" vertical="center"/>
      <protection locked="0"/>
    </xf>
    <xf numFmtId="0" fontId="20" fillId="6" borderId="2" xfId="85" applyFont="1" applyFill="1" applyBorder="1" applyAlignment="1">
      <alignment vertical="center"/>
    </xf>
    <xf numFmtId="178" fontId="6" fillId="0" borderId="2" xfId="85" applyNumberFormat="1" applyFont="1" applyFill="1" applyBorder="1" applyAlignment="1" applyProtection="1">
      <alignment horizontal="right" vertical="center"/>
      <protection locked="0"/>
    </xf>
    <xf numFmtId="178" fontId="6" fillId="0" borderId="2" xfId="4" applyNumberFormat="1" applyFont="1" applyFill="1" applyBorder="1" applyAlignment="1">
      <alignment horizontal="right"/>
    </xf>
    <xf numFmtId="0" fontId="20" fillId="0" borderId="2" xfId="85" applyFont="1" applyBorder="1" applyAlignment="1">
      <alignment vertical="center" wrapText="1"/>
    </xf>
    <xf numFmtId="178" fontId="6" fillId="0" borderId="2" xfId="85" applyNumberFormat="1" applyFont="1" applyFill="1" applyBorder="1" applyAlignment="1">
      <alignment horizontal="right"/>
    </xf>
    <xf numFmtId="178" fontId="6" fillId="0" borderId="2" xfId="85" applyNumberFormat="1" applyFont="1" applyFill="1" applyBorder="1" applyAlignment="1">
      <alignment horizontal="right" wrapText="1"/>
    </xf>
    <xf numFmtId="0" fontId="20" fillId="0" borderId="2" xfId="0" applyFont="1" applyFill="1" applyBorder="1" applyAlignment="1">
      <alignment vertical="center"/>
    </xf>
    <xf numFmtId="0" fontId="18" fillId="7" borderId="2" xfId="0" applyNumberFormat="1" applyFont="1" applyFill="1" applyBorder="1" applyAlignment="1" applyProtection="1">
      <alignment horizontal="left" vertical="center"/>
    </xf>
    <xf numFmtId="49" fontId="6" fillId="8" borderId="2" xfId="85" applyNumberFormat="1" applyFont="1" applyFill="1" applyBorder="1" applyAlignment="1" applyProtection="1">
      <alignment horizontal="left" vertical="center"/>
      <protection locked="0"/>
    </xf>
    <xf numFmtId="0" fontId="20" fillId="8" borderId="2" xfId="85" applyFont="1" applyFill="1" applyBorder="1" applyAlignment="1">
      <alignment horizontal="left" vertical="center"/>
    </xf>
    <xf numFmtId="49" fontId="6" fillId="6" borderId="2" xfId="85" applyNumberFormat="1" applyFont="1" applyFill="1" applyBorder="1" applyAlignment="1">
      <alignment horizontal="left" vertical="center"/>
    </xf>
    <xf numFmtId="49" fontId="6" fillId="0" borderId="2" xfId="85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49" fontId="6" fillId="0" borderId="2" xfId="85" applyNumberFormat="1" applyFont="1" applyBorder="1" applyAlignment="1">
      <alignment horizontal="left" vertical="center"/>
    </xf>
    <xf numFmtId="0" fontId="18" fillId="9" borderId="2" xfId="0" applyNumberFormat="1" applyFont="1" applyFill="1" applyBorder="1" applyAlignment="1" applyProtection="1">
      <alignment horizontal="left" vertical="center"/>
    </xf>
    <xf numFmtId="178" fontId="6" fillId="0" borderId="2" xfId="85" applyNumberFormat="1" applyFont="1" applyFill="1" applyBorder="1" applyAlignment="1">
      <alignment horizontal="right" vertical="center"/>
    </xf>
    <xf numFmtId="49" fontId="6" fillId="0" borderId="2" xfId="85" applyNumberFormat="1" applyFont="1" applyFill="1" applyBorder="1" applyAlignment="1">
      <alignment vertical="center"/>
    </xf>
    <xf numFmtId="49" fontId="9" fillId="5" borderId="2" xfId="85" applyNumberFormat="1" applyFont="1" applyFill="1" applyBorder="1" applyAlignment="1" applyProtection="1">
      <alignment horizontal="center" vertical="center" wrapText="1"/>
      <protection locked="0"/>
    </xf>
    <xf numFmtId="0" fontId="19" fillId="5" borderId="2" xfId="85" applyFont="1" applyFill="1" applyBorder="1" applyAlignment="1" applyProtection="1">
      <alignment horizontal="center" vertical="center" wrapText="1"/>
      <protection locked="0"/>
    </xf>
    <xf numFmtId="178" fontId="9" fillId="0" borderId="2" xfId="4" applyNumberFormat="1" applyFont="1" applyFill="1" applyBorder="1" applyAlignment="1" applyProtection="1">
      <alignment horizontal="right" vertical="center" wrapText="1"/>
      <protection locked="0"/>
    </xf>
    <xf numFmtId="177" fontId="9" fillId="0" borderId="2" xfId="4" applyNumberFormat="1" applyFont="1" applyFill="1" applyBorder="1" applyAlignment="1">
      <alignment horizontal="right"/>
    </xf>
    <xf numFmtId="178" fontId="9" fillId="0" borderId="2" xfId="4" applyNumberFormat="1" applyFont="1" applyFill="1" applyBorder="1" applyAlignment="1">
      <alignment horizontal="right"/>
    </xf>
    <xf numFmtId="0" fontId="3" fillId="3" borderId="0" xfId="0" applyFont="1" applyFill="1">
      <alignment vertical="center"/>
    </xf>
    <xf numFmtId="49" fontId="9" fillId="5" borderId="2" xfId="85" applyNumberFormat="1" applyFont="1" applyFill="1" applyBorder="1" applyAlignment="1" applyProtection="1">
      <alignment vertical="center" wrapText="1"/>
      <protection locked="0"/>
    </xf>
    <xf numFmtId="1" fontId="19" fillId="5" borderId="2" xfId="85" applyNumberFormat="1" applyFont="1" applyFill="1" applyBorder="1" applyAlignment="1" applyProtection="1">
      <alignment vertical="center" wrapText="1"/>
      <protection locked="0"/>
    </xf>
    <xf numFmtId="49" fontId="6" fillId="0" borderId="2" xfId="85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85" applyNumberFormat="1" applyFont="1" applyFill="1" applyBorder="1" applyAlignment="1" applyProtection="1">
      <alignment vertical="center" wrapText="1"/>
      <protection locked="0"/>
    </xf>
    <xf numFmtId="49" fontId="9" fillId="5" borderId="2" xfId="85" applyNumberFormat="1" applyFont="1" applyFill="1" applyBorder="1" applyAlignment="1">
      <alignment horizontal="distributed" vertical="center"/>
    </xf>
    <xf numFmtId="0" fontId="19" fillId="5" borderId="2" xfId="85" applyFont="1" applyFill="1" applyBorder="1" applyAlignment="1">
      <alignment horizontal="distributed" vertical="center"/>
    </xf>
    <xf numFmtId="178" fontId="6" fillId="10" borderId="2" xfId="4" applyNumberFormat="1" applyFont="1" applyFill="1" applyBorder="1" applyAlignment="1">
      <alignment horizontal="right"/>
    </xf>
    <xf numFmtId="177" fontId="6" fillId="8" borderId="2" xfId="4" applyNumberFormat="1" applyFont="1" applyFill="1" applyBorder="1" applyAlignment="1">
      <alignment horizontal="right"/>
    </xf>
    <xf numFmtId="178" fontId="6" fillId="8" borderId="2" xfId="4" applyNumberFormat="1" applyFont="1" applyFill="1" applyBorder="1" applyAlignment="1">
      <alignment horizontal="right"/>
    </xf>
    <xf numFmtId="178" fontId="6" fillId="8" borderId="2" xfId="85" applyNumberFormat="1" applyFont="1" applyFill="1" applyBorder="1" applyAlignment="1">
      <alignment horizontal="right" vertical="center"/>
    </xf>
    <xf numFmtId="177" fontId="6" fillId="8" borderId="2" xfId="85" applyNumberFormat="1" applyFont="1" applyFill="1" applyBorder="1" applyAlignment="1">
      <alignment horizontal="right" vertical="center"/>
    </xf>
    <xf numFmtId="178" fontId="6" fillId="10" borderId="2" xfId="85" applyNumberFormat="1" applyFont="1" applyFill="1" applyBorder="1" applyAlignment="1">
      <alignment horizontal="right"/>
    </xf>
    <xf numFmtId="178" fontId="30" fillId="10" borderId="9" xfId="0" applyNumberFormat="1" applyFont="1" applyFill="1" applyBorder="1" applyAlignment="1" applyProtection="1">
      <alignment horizontal="right" vertical="center" wrapText="1"/>
    </xf>
    <xf numFmtId="3" fontId="6" fillId="10" borderId="10" xfId="0" applyNumberFormat="1" applyFont="1" applyFill="1" applyBorder="1" applyAlignment="1">
      <alignment horizontal="right" vertical="center"/>
    </xf>
    <xf numFmtId="178" fontId="6" fillId="10" borderId="2" xfId="85" applyNumberFormat="1" applyFont="1" applyFill="1" applyBorder="1" applyAlignment="1">
      <alignment horizontal="right" vertical="center"/>
    </xf>
    <xf numFmtId="178" fontId="6" fillId="10" borderId="2" xfId="4" applyNumberFormat="1" applyFont="1" applyFill="1" applyBorder="1" applyAlignment="1">
      <alignment horizontal="right" vertical="center"/>
    </xf>
    <xf numFmtId="178" fontId="31" fillId="10" borderId="10" xfId="0" applyNumberFormat="1" applyFont="1" applyFill="1" applyBorder="1" applyAlignment="1">
      <alignment horizontal="right" vertical="center"/>
    </xf>
    <xf numFmtId="178" fontId="6" fillId="10" borderId="2" xfId="85" applyNumberFormat="1" applyFont="1" applyFill="1" applyBorder="1" applyAlignment="1" applyProtection="1">
      <alignment horizontal="right" vertical="center"/>
    </xf>
    <xf numFmtId="178" fontId="6" fillId="10" borderId="2" xfId="85" applyNumberFormat="1" applyFont="1" applyFill="1" applyBorder="1" applyAlignment="1" applyProtection="1">
      <alignment horizontal="right" vertical="center"/>
      <protection locked="0"/>
    </xf>
    <xf numFmtId="178" fontId="6" fillId="10" borderId="0" xfId="0" applyNumberFormat="1" applyFont="1" applyFill="1" applyAlignment="1">
      <alignment horizontal="right" vertical="center"/>
    </xf>
    <xf numFmtId="178" fontId="6" fillId="10" borderId="2" xfId="0" applyNumberFormat="1" applyFont="1" applyFill="1" applyBorder="1" applyAlignment="1" applyProtection="1">
      <alignment horizontal="right" vertical="center"/>
    </xf>
    <xf numFmtId="178" fontId="6" fillId="0" borderId="2" xfId="4" applyNumberFormat="1" applyFont="1" applyFill="1" applyBorder="1" applyAlignment="1">
      <alignment horizontal="right"/>
    </xf>
    <xf numFmtId="178" fontId="6" fillId="0" borderId="2" xfId="85" applyNumberFormat="1" applyFont="1" applyFill="1" applyBorder="1" applyAlignment="1">
      <alignment horizontal="right"/>
    </xf>
    <xf numFmtId="178" fontId="6" fillId="10" borderId="2" xfId="85" applyNumberFormat="1" applyFont="1" applyFill="1" applyBorder="1" applyAlignment="1">
      <alignment horizontal="right" wrapText="1"/>
    </xf>
    <xf numFmtId="178" fontId="6" fillId="10" borderId="2" xfId="0" applyNumberFormat="1" applyFont="1" applyFill="1" applyBorder="1" applyAlignment="1">
      <alignment horizontal="right" vertical="center"/>
    </xf>
    <xf numFmtId="178" fontId="6" fillId="10" borderId="2" xfId="4" applyNumberFormat="1" applyFont="1" applyFill="1" applyBorder="1" applyAlignment="1" applyProtection="1">
      <alignment horizontal="right" vertical="center"/>
      <protection locked="0"/>
    </xf>
    <xf numFmtId="178" fontId="6" fillId="10" borderId="2" xfId="85" applyNumberFormat="1" applyFont="1" applyFill="1" applyBorder="1" applyAlignment="1" applyProtection="1">
      <alignment horizontal="right" vertical="center" wrapText="1"/>
      <protection locked="0"/>
    </xf>
    <xf numFmtId="178" fontId="6" fillId="0" borderId="0" xfId="0" applyNumberFormat="1" applyFont="1" applyFill="1">
      <alignment vertical="center"/>
    </xf>
    <xf numFmtId="0" fontId="4" fillId="0" borderId="0" xfId="67" applyFont="1" applyFill="1" applyAlignment="1">
      <alignment horizontal="center"/>
    </xf>
    <xf numFmtId="178" fontId="6" fillId="0" borderId="0" xfId="67" applyNumberFormat="1" applyFont="1" applyFill="1" applyAlignment="1">
      <alignment horizontal="center"/>
    </xf>
    <xf numFmtId="177" fontId="6" fillId="0" borderId="0" xfId="67" applyNumberFormat="1" applyFont="1" applyFill="1" applyAlignment="1">
      <alignment horizontal="center"/>
    </xf>
    <xf numFmtId="178" fontId="6" fillId="0" borderId="0" xfId="67" applyNumberFormat="1" applyFont="1" applyFill="1" applyAlignment="1">
      <alignment horizontal="center"/>
    </xf>
    <xf numFmtId="31" fontId="0" fillId="0" borderId="0" xfId="67" applyNumberFormat="1" applyFont="1" applyFill="1" applyAlignment="1">
      <alignment horizontal="left"/>
    </xf>
    <xf numFmtId="178" fontId="6" fillId="0" borderId="0" xfId="67" applyNumberFormat="1" applyFont="1" applyFill="1" applyAlignment="1">
      <alignment horizontal="left"/>
    </xf>
    <xf numFmtId="178" fontId="6" fillId="0" borderId="0" xfId="67" applyNumberFormat="1" applyFont="1" applyFill="1"/>
    <xf numFmtId="177" fontId="6" fillId="0" borderId="0" xfId="67" applyNumberFormat="1" applyFont="1" applyFill="1"/>
    <xf numFmtId="178" fontId="6" fillId="0" borderId="0" xfId="67" applyNumberFormat="1" applyFont="1" applyFill="1"/>
    <xf numFmtId="0" fontId="6" fillId="0" borderId="0" xfId="67" applyFont="1" applyFill="1"/>
    <xf numFmtId="178" fontId="2" fillId="0" borderId="2" xfId="67" applyNumberFormat="1" applyFont="1" applyFill="1" applyBorder="1" applyAlignment="1">
      <alignment horizontal="center" vertical="center" wrapText="1"/>
    </xf>
    <xf numFmtId="0" fontId="19" fillId="0" borderId="2" xfId="67" applyFont="1" applyFill="1" applyBorder="1" applyAlignment="1" applyProtection="1">
      <alignment wrapText="1"/>
      <protection locked="0"/>
    </xf>
    <xf numFmtId="177" fontId="9" fillId="0" borderId="2" xfId="85" applyNumberFormat="1" applyFont="1" applyFill="1" applyBorder="1" applyAlignment="1">
      <alignment vertical="center"/>
    </xf>
    <xf numFmtId="178" fontId="9" fillId="0" borderId="2" xfId="85" applyNumberFormat="1" applyFont="1" applyFill="1" applyBorder="1" applyAlignment="1">
      <alignment vertical="center"/>
    </xf>
    <xf numFmtId="0" fontId="20" fillId="0" borderId="2" xfId="67" applyFont="1" applyFill="1" applyBorder="1" applyAlignment="1" applyProtection="1">
      <alignment wrapText="1"/>
      <protection locked="0"/>
    </xf>
    <xf numFmtId="177" fontId="6" fillId="0" borderId="2" xfId="85" applyNumberFormat="1" applyFont="1" applyFill="1" applyBorder="1" applyAlignment="1">
      <alignment vertical="center"/>
    </xf>
    <xf numFmtId="0" fontId="20" fillId="0" borderId="2" xfId="85" applyFont="1" applyFill="1" applyBorder="1" applyAlignment="1" applyProtection="1">
      <alignment wrapText="1"/>
      <protection locked="0"/>
    </xf>
    <xf numFmtId="0" fontId="20" fillId="0" borderId="2" xfId="67" applyFont="1" applyFill="1" applyBorder="1" applyAlignment="1">
      <alignment wrapText="1"/>
    </xf>
    <xf numFmtId="178" fontId="6" fillId="0" borderId="2" xfId="85" applyNumberFormat="1" applyFont="1" applyFill="1" applyBorder="1" applyAlignment="1" applyProtection="1">
      <alignment vertical="center" wrapText="1"/>
      <protection locked="0"/>
    </xf>
    <xf numFmtId="0" fontId="20" fillId="0" borderId="2" xfId="85" applyFont="1" applyFill="1" applyBorder="1" applyAlignment="1">
      <alignment wrapText="1"/>
    </xf>
    <xf numFmtId="178" fontId="6" fillId="0" borderId="0" xfId="0" applyNumberFormat="1" applyFont="1" applyFill="1" applyAlignment="1">
      <alignment vertical="center"/>
    </xf>
    <xf numFmtId="41" fontId="20" fillId="0" borderId="2" xfId="85" applyNumberFormat="1" applyFont="1" applyFill="1" applyBorder="1" applyAlignment="1">
      <alignment wrapText="1"/>
    </xf>
    <xf numFmtId="41" fontId="20" fillId="0" borderId="2" xfId="85" applyNumberFormat="1" applyFont="1" applyFill="1" applyBorder="1" applyAlignment="1">
      <alignment horizontal="left" wrapText="1"/>
    </xf>
    <xf numFmtId="178" fontId="27" fillId="0" borderId="2" xfId="85" applyNumberFormat="1" applyFont="1" applyFill="1" applyBorder="1" applyAlignment="1" applyProtection="1">
      <alignment vertical="center" wrapText="1"/>
      <protection locked="0"/>
    </xf>
    <xf numFmtId="178" fontId="6" fillId="0" borderId="2" xfId="4" applyNumberFormat="1" applyFont="1" applyFill="1" applyBorder="1" applyAlignment="1">
      <alignment vertical="center" wrapText="1"/>
    </xf>
    <xf numFmtId="0" fontId="20" fillId="0" borderId="0" xfId="67" applyFont="1" applyFill="1" applyAlignment="1">
      <alignment wrapText="1"/>
    </xf>
    <xf numFmtId="178" fontId="6" fillId="0" borderId="0" xfId="67" applyNumberFormat="1" applyFont="1" applyFill="1" applyAlignment="1">
      <alignment wrapText="1"/>
    </xf>
    <xf numFmtId="178" fontId="9" fillId="0" borderId="0" xfId="67" applyNumberFormat="1" applyFont="1" applyFill="1"/>
    <xf numFmtId="0" fontId="0" fillId="0" borderId="0" xfId="67" applyFont="1" applyFill="1" applyAlignment="1">
      <alignment wrapText="1"/>
    </xf>
    <xf numFmtId="0" fontId="23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4" fillId="0" borderId="0" xfId="65" applyFont="1"/>
    <xf numFmtId="0" fontId="24" fillId="0" borderId="0" xfId="65" applyFont="1"/>
    <xf numFmtId="0" fontId="0" fillId="0" borderId="0" xfId="65" applyFont="1"/>
    <xf numFmtId="0" fontId="35" fillId="0" borderId="0" xfId="65" applyFont="1" applyAlignment="1">
      <alignment horizontal="center"/>
    </xf>
    <xf numFmtId="0" fontId="36" fillId="0" borderId="0" xfId="65" applyFont="1" applyAlignment="1">
      <alignment horizontal="center"/>
    </xf>
    <xf numFmtId="0" fontId="37" fillId="0" borderId="0" xfId="65" applyFont="1" applyAlignment="1">
      <alignment horizontal="center"/>
    </xf>
    <xf numFmtId="0" fontId="38" fillId="0" borderId="0" xfId="65" applyFont="1" applyAlignment="1">
      <alignment horizontal="center"/>
    </xf>
    <xf numFmtId="31" fontId="38" fillId="0" borderId="0" xfId="65" applyNumberFormat="1" applyFont="1" applyAlignment="1">
      <alignment horizont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7 2" xfId="49"/>
    <cellStyle name="常规 37" xfId="50"/>
    <cellStyle name="千位分隔[0] 3" xfId="51"/>
    <cellStyle name="常规 2 2" xfId="52"/>
    <cellStyle name="常规 2 10" xfId="53"/>
    <cellStyle name="常规 3" xfId="54"/>
    <cellStyle name="常规 10 2_10月" xfId="55"/>
    <cellStyle name="常规 11" xfId="56"/>
    <cellStyle name="常规_2016年预算经济科目表20160109 (1)" xfId="57"/>
    <cellStyle name="常规 11 2" xfId="58"/>
    <cellStyle name="常规 2" xfId="59"/>
    <cellStyle name="常规 2 10 2" xfId="60"/>
    <cellStyle name="常规 4" xfId="61"/>
    <cellStyle name="常规_2013年国有资本经营预算草案0107" xfId="62"/>
    <cellStyle name="常规_2013年政府性基金预算草案0109陈改" xfId="63"/>
    <cellStyle name="常规_2013年政府性基金预算草案0109陈改_本基支" xfId="64"/>
    <cellStyle name="常规_Sheet1" xfId="65"/>
    <cellStyle name="常规_Sheet1_Sheet9" xfId="66"/>
    <cellStyle name="常规_Sheet2" xfId="67"/>
    <cellStyle name="常规_Sheet2_Sheet5" xfId="68"/>
    <cellStyle name="常规_Sheet2_本级支" xfId="69"/>
    <cellStyle name="常规_Sheet3" xfId="70"/>
    <cellStyle name="千位分隔 2 2" xfId="71"/>
    <cellStyle name="常规_Sheet6" xfId="72"/>
    <cellStyle name="千位分隔 2 3" xfId="73"/>
    <cellStyle name="常规_Sheet7" xfId="74"/>
    <cellStyle name="千位分隔 2 2 2" xfId="75"/>
    <cellStyle name="常规_Sheet8" xfId="76"/>
    <cellStyle name="常规_Sheet9" xfId="77"/>
    <cellStyle name="常规_表九、十柳州市本级2015年财政总预算表格20150107" xfId="78"/>
    <cellStyle name="千位分隔 11" xfId="79"/>
    <cellStyle name="千位分隔 2" xfId="80"/>
    <cellStyle name="千位分隔 3" xfId="81"/>
    <cellStyle name="千位分隔 4" xfId="82"/>
    <cellStyle name="千位分隔 4 2" xfId="83"/>
    <cellStyle name="千位分隔[0]_2013年国有资本经营预算草案0107" xfId="84"/>
    <cellStyle name="样式 1" xfId="85"/>
    <cellStyle name="样式 1 2" xfId="86"/>
    <cellStyle name="样式 1 3" xfId="87"/>
    <cellStyle name="常规_B1012020" xfId="88"/>
    <cellStyle name="常规_全县一般预算收入二00七年完成及二00八年计划（草案）（排2）" xfId="89"/>
    <cellStyle name="常规_Sheet1 2" xfId="90"/>
  </cellStyles>
  <tableStyles count="0" defaultTableStyle="TableStyleMedium9" defaultPivotStyle="PivotStyleLight16"/>
  <colors>
    <mruColors>
      <color rgb="00C0C0C0"/>
      <color rgb="00CCFFCC"/>
      <color rgb="00CCFFFF"/>
      <color rgb="00FFFF00"/>
      <color rgb="00000000"/>
      <color rgb="00FF0000"/>
      <color rgb="00FFCC99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SheetLayoutView="60" topLeftCell="A2" workbookViewId="0">
      <selection activeCell="F18" sqref="F18"/>
    </sheetView>
  </sheetViews>
  <sheetFormatPr defaultColWidth="9" defaultRowHeight="14.25"/>
  <sheetData>
    <row r="1" ht="20.25" spans="1:14">
      <c r="A1" s="511"/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</row>
    <row r="2" spans="1:14">
      <c r="A2" s="513"/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</row>
    <row r="3" spans="1:14">
      <c r="A3" s="513"/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</row>
    <row r="4" spans="1:14">
      <c r="A4" s="513"/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</row>
    <row r="5" spans="1:14">
      <c r="A5" s="513"/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</row>
    <row r="6" spans="1:14">
      <c r="A6" s="513"/>
      <c r="B6" s="513"/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</row>
    <row r="7" spans="1:14">
      <c r="A7" s="513"/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513"/>
      <c r="N7" s="513"/>
    </row>
    <row r="8" ht="47.25" spans="1:14">
      <c r="A8" s="514" t="s">
        <v>0</v>
      </c>
      <c r="B8" s="514"/>
      <c r="C8" s="514"/>
      <c r="D8" s="514"/>
      <c r="E8" s="514"/>
      <c r="F8" s="514"/>
      <c r="G8" s="514"/>
      <c r="H8" s="514"/>
      <c r="I8" s="514"/>
      <c r="J8" s="514"/>
      <c r="K8" s="514"/>
      <c r="L8" s="514"/>
      <c r="M8" s="514"/>
      <c r="N8" s="514"/>
    </row>
    <row r="9" ht="47.25" spans="1:14">
      <c r="A9" s="514" t="s">
        <v>1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</row>
    <row r="10" ht="46.5" spans="1:14">
      <c r="A10" s="515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/>
    </row>
    <row r="11" spans="1:14">
      <c r="A11" s="513"/>
      <c r="B11" s="513"/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513"/>
      <c r="N11" s="513"/>
    </row>
    <row r="12" spans="1:14">
      <c r="A12" s="513"/>
      <c r="B12" s="513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</row>
    <row r="13" spans="1:14">
      <c r="A13" s="513"/>
      <c r="B13" s="513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</row>
    <row r="14" spans="1:14">
      <c r="A14" s="513"/>
      <c r="B14" s="513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</row>
    <row r="15" spans="1:14">
      <c r="A15" s="513"/>
      <c r="B15" s="513"/>
      <c r="C15" s="513"/>
      <c r="D15" s="513"/>
      <c r="E15" s="513"/>
      <c r="F15" s="513"/>
      <c r="G15" s="513"/>
      <c r="H15" s="513"/>
      <c r="I15" s="513"/>
      <c r="J15" s="513"/>
      <c r="K15" s="513"/>
      <c r="L15" s="513"/>
      <c r="M15" s="513"/>
      <c r="N15" s="513"/>
    </row>
    <row r="16" ht="31.5" spans="1:14">
      <c r="A16" s="517" t="s">
        <v>2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</row>
    <row r="17" ht="31.5" spans="1:14">
      <c r="A17" s="518">
        <v>46099</v>
      </c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</row>
  </sheetData>
  <mergeCells count="5">
    <mergeCell ref="A8:N8"/>
    <mergeCell ref="A9:N9"/>
    <mergeCell ref="A10:N10"/>
    <mergeCell ref="A16:N16"/>
    <mergeCell ref="A17:N17"/>
  </mergeCell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4"/>
  <sheetViews>
    <sheetView showZeros="0" zoomScaleSheetLayoutView="60" workbookViewId="0">
      <pane xSplit="2" ySplit="5" topLeftCell="C161" activePane="bottomRight" state="frozen"/>
      <selection/>
      <selection pane="topRight"/>
      <selection pane="bottomLeft"/>
      <selection pane="bottomRight" activeCell="I161" sqref="I161"/>
    </sheetView>
  </sheetViews>
  <sheetFormatPr defaultColWidth="9" defaultRowHeight="15.75"/>
  <cols>
    <col min="1" max="1" width="49.375" customWidth="1"/>
    <col min="2" max="3" width="12.625" style="191" customWidth="1"/>
    <col min="4" max="4" width="12.625" style="192" customWidth="1"/>
    <col min="5" max="5" width="12.625" style="193" customWidth="1"/>
    <col min="6" max="6" width="12.625" style="194" customWidth="1"/>
    <col min="7" max="7" width="12.625" style="193" customWidth="1"/>
    <col min="8" max="8" width="12.625" style="191" customWidth="1"/>
    <col min="9" max="9" width="12.625" style="194" customWidth="1"/>
    <col min="10" max="10" width="12.625" style="193" customWidth="1"/>
    <col min="11" max="11" width="12.625" style="191" customWidth="1"/>
  </cols>
  <sheetData>
    <row r="1" ht="24" spans="1:12">
      <c r="A1" s="195" t="s">
        <v>1246</v>
      </c>
      <c r="B1" s="196"/>
      <c r="C1" s="196"/>
      <c r="D1" s="197"/>
      <c r="E1" s="198"/>
      <c r="F1" s="199"/>
      <c r="G1" s="198"/>
      <c r="H1" s="196"/>
      <c r="I1" s="199"/>
      <c r="J1" s="198"/>
      <c r="K1" s="196"/>
      <c r="L1" s="201"/>
    </row>
    <row r="2" spans="1:12">
      <c r="A2" s="202"/>
      <c r="B2" s="203"/>
      <c r="C2" s="196"/>
      <c r="D2" s="197"/>
      <c r="E2" s="198"/>
      <c r="F2" s="199"/>
      <c r="G2" s="198"/>
      <c r="H2" s="196"/>
      <c r="I2" s="199"/>
      <c r="J2" s="204" t="s">
        <v>26</v>
      </c>
      <c r="K2" s="255"/>
      <c r="L2" s="201"/>
    </row>
    <row r="3" s="2" customFormat="1" ht="21" customHeight="1" spans="1:12">
      <c r="A3" s="205" t="s">
        <v>1247</v>
      </c>
      <c r="B3" s="206">
        <v>2024</v>
      </c>
      <c r="C3" s="206" t="s">
        <v>1248</v>
      </c>
      <c r="D3" s="207"/>
      <c r="E3" s="208"/>
      <c r="F3" s="209"/>
      <c r="G3" s="208"/>
      <c r="H3" s="206" t="s">
        <v>1249</v>
      </c>
      <c r="I3" s="209"/>
      <c r="J3" s="208"/>
      <c r="K3" s="206" t="s">
        <v>1250</v>
      </c>
      <c r="L3" s="210"/>
    </row>
    <row r="4" s="2" customFormat="1" ht="21" customHeight="1" spans="1:12">
      <c r="A4" s="205"/>
      <c r="B4" s="206" t="s">
        <v>153</v>
      </c>
      <c r="C4" s="206" t="s">
        <v>152</v>
      </c>
      <c r="D4" s="207" t="s">
        <v>153</v>
      </c>
      <c r="E4" s="211" t="s">
        <v>1251</v>
      </c>
      <c r="F4" s="212" t="s">
        <v>155</v>
      </c>
      <c r="G4" s="211"/>
      <c r="H4" s="213" t="s">
        <v>36</v>
      </c>
      <c r="I4" s="212" t="s">
        <v>1252</v>
      </c>
      <c r="J4" s="211"/>
      <c r="K4" s="213"/>
      <c r="L4" s="210"/>
    </row>
    <row r="5" s="2" customFormat="1" ht="21" customHeight="1" spans="1:12">
      <c r="A5" s="205"/>
      <c r="B5" s="206"/>
      <c r="C5" s="206"/>
      <c r="D5" s="207"/>
      <c r="E5" s="208"/>
      <c r="F5" s="209" t="s">
        <v>157</v>
      </c>
      <c r="G5" s="208" t="s">
        <v>39</v>
      </c>
      <c r="H5" s="213"/>
      <c r="I5" s="209" t="s">
        <v>157</v>
      </c>
      <c r="J5" s="208" t="s">
        <v>39</v>
      </c>
      <c r="K5" s="256"/>
      <c r="L5" s="210"/>
    </row>
    <row r="6" ht="21" customHeight="1" spans="1:12">
      <c r="A6" s="216" t="s">
        <v>1253</v>
      </c>
      <c r="B6" s="217">
        <f>B7+B12</f>
        <v>1</v>
      </c>
      <c r="C6" s="217">
        <f>C7+C12</f>
        <v>0</v>
      </c>
      <c r="D6" s="217">
        <f>D7+D12</f>
        <v>3</v>
      </c>
      <c r="E6" s="218"/>
      <c r="F6" s="217">
        <f>D6-B6</f>
        <v>2</v>
      </c>
      <c r="G6" s="218">
        <f>F6/B6*100</f>
        <v>200</v>
      </c>
      <c r="H6" s="217">
        <f>H7+H12</f>
        <v>0</v>
      </c>
      <c r="I6" s="217">
        <f>H6-C6</f>
        <v>0</v>
      </c>
      <c r="J6" s="218"/>
      <c r="K6" s="227"/>
      <c r="L6" s="201"/>
    </row>
    <row r="7" ht="21" customHeight="1" spans="1:12">
      <c r="A7" s="220" t="s">
        <v>1254</v>
      </c>
      <c r="B7" s="180">
        <v>1</v>
      </c>
      <c r="C7" s="180">
        <f>SUM(C8:C11)</f>
        <v>0</v>
      </c>
      <c r="D7" s="180">
        <f>SUM(D8:D11)</f>
        <v>3</v>
      </c>
      <c r="E7" s="218"/>
      <c r="F7" s="217">
        <f t="shared" ref="F7:F38" si="0">D7-B7</f>
        <v>2</v>
      </c>
      <c r="G7" s="218">
        <f>F7/B7*100</f>
        <v>200</v>
      </c>
      <c r="H7" s="180">
        <f>SUM(H8:H11)</f>
        <v>0</v>
      </c>
      <c r="I7" s="217">
        <f t="shared" ref="I7:I38" si="1">H7-C7</f>
        <v>0</v>
      </c>
      <c r="J7" s="218"/>
      <c r="K7" s="227"/>
      <c r="L7" s="201"/>
    </row>
    <row r="8" ht="21" customHeight="1" spans="1:12">
      <c r="A8" s="221" t="s">
        <v>1255</v>
      </c>
      <c r="B8" s="222"/>
      <c r="C8" s="180"/>
      <c r="D8" s="222"/>
      <c r="E8" s="218"/>
      <c r="F8" s="217">
        <f t="shared" si="0"/>
        <v>0</v>
      </c>
      <c r="G8" s="218"/>
      <c r="H8" s="180"/>
      <c r="I8" s="217">
        <f t="shared" si="1"/>
        <v>0</v>
      </c>
      <c r="J8" s="218"/>
      <c r="K8" s="227"/>
      <c r="L8" s="201"/>
    </row>
    <row r="9" ht="21" customHeight="1" spans="1:12">
      <c r="A9" s="221" t="s">
        <v>1256</v>
      </c>
      <c r="B9" s="222"/>
      <c r="C9" s="180"/>
      <c r="D9" s="222">
        <v>3</v>
      </c>
      <c r="E9" s="218"/>
      <c r="F9" s="217">
        <f t="shared" si="0"/>
        <v>3</v>
      </c>
      <c r="G9" s="218"/>
      <c r="H9" s="180"/>
      <c r="I9" s="217">
        <f t="shared" si="1"/>
        <v>0</v>
      </c>
      <c r="J9" s="218"/>
      <c r="K9" s="227"/>
      <c r="L9" s="201"/>
    </row>
    <row r="10" ht="21" customHeight="1" spans="1:12">
      <c r="A10" s="221" t="s">
        <v>1257</v>
      </c>
      <c r="B10" s="222"/>
      <c r="C10" s="180"/>
      <c r="D10" s="222"/>
      <c r="E10" s="218"/>
      <c r="F10" s="217">
        <f t="shared" si="0"/>
        <v>0</v>
      </c>
      <c r="G10" s="218"/>
      <c r="H10" s="180"/>
      <c r="I10" s="217">
        <f t="shared" si="1"/>
        <v>0</v>
      </c>
      <c r="J10" s="218"/>
      <c r="K10" s="227"/>
      <c r="L10" s="201"/>
    </row>
    <row r="11" ht="21" customHeight="1" spans="1:12">
      <c r="A11" s="221" t="s">
        <v>1258</v>
      </c>
      <c r="B11" s="222">
        <v>1</v>
      </c>
      <c r="C11" s="180"/>
      <c r="D11" s="222"/>
      <c r="E11" s="218"/>
      <c r="F11" s="217">
        <f t="shared" si="0"/>
        <v>-1</v>
      </c>
      <c r="G11" s="218">
        <f>F11/B11*100</f>
        <v>-100</v>
      </c>
      <c r="H11" s="180"/>
      <c r="I11" s="217">
        <f t="shared" si="1"/>
        <v>0</v>
      </c>
      <c r="J11" s="218"/>
      <c r="K11" s="227"/>
      <c r="L11" s="201"/>
    </row>
    <row r="12" ht="21" customHeight="1" spans="1:12">
      <c r="A12" s="220" t="s">
        <v>1259</v>
      </c>
      <c r="B12" s="180"/>
      <c r="C12" s="180"/>
      <c r="D12" s="180"/>
      <c r="E12" s="218"/>
      <c r="F12" s="217">
        <f t="shared" si="0"/>
        <v>0</v>
      </c>
      <c r="G12" s="218"/>
      <c r="H12" s="180"/>
      <c r="I12" s="217">
        <f t="shared" si="1"/>
        <v>0</v>
      </c>
      <c r="J12" s="218"/>
      <c r="K12" s="227"/>
      <c r="L12" s="201"/>
    </row>
    <row r="13" ht="21" customHeight="1" spans="1:12">
      <c r="A13" s="221" t="s">
        <v>1260</v>
      </c>
      <c r="B13" s="222"/>
      <c r="C13" s="180"/>
      <c r="D13" s="222"/>
      <c r="E13" s="218"/>
      <c r="F13" s="217">
        <f t="shared" si="0"/>
        <v>0</v>
      </c>
      <c r="G13" s="218"/>
      <c r="H13" s="180"/>
      <c r="I13" s="217">
        <f t="shared" si="1"/>
        <v>0</v>
      </c>
      <c r="J13" s="218"/>
      <c r="K13" s="227"/>
      <c r="L13" s="201"/>
    </row>
    <row r="14" ht="21" customHeight="1" spans="1:12">
      <c r="A14" s="221" t="s">
        <v>1261</v>
      </c>
      <c r="B14" s="222"/>
      <c r="C14" s="180"/>
      <c r="D14" s="222"/>
      <c r="E14" s="218"/>
      <c r="F14" s="217">
        <f t="shared" si="0"/>
        <v>0</v>
      </c>
      <c r="G14" s="218"/>
      <c r="H14" s="180"/>
      <c r="I14" s="217">
        <f t="shared" si="1"/>
        <v>0</v>
      </c>
      <c r="J14" s="218"/>
      <c r="K14" s="227"/>
      <c r="L14" s="201"/>
    </row>
    <row r="15" ht="21" customHeight="1" spans="1:12">
      <c r="A15" s="221" t="s">
        <v>1262</v>
      </c>
      <c r="B15" s="222"/>
      <c r="C15" s="180"/>
      <c r="D15" s="222"/>
      <c r="E15" s="218"/>
      <c r="F15" s="217">
        <f t="shared" si="0"/>
        <v>0</v>
      </c>
      <c r="G15" s="218"/>
      <c r="H15" s="180"/>
      <c r="I15" s="217">
        <f t="shared" si="1"/>
        <v>0</v>
      </c>
      <c r="J15" s="218"/>
      <c r="K15" s="227"/>
      <c r="L15" s="201"/>
    </row>
    <row r="16" ht="21" customHeight="1" spans="1:12">
      <c r="A16" s="221" t="s">
        <v>1263</v>
      </c>
      <c r="B16" s="222"/>
      <c r="C16" s="180"/>
      <c r="D16" s="222"/>
      <c r="E16" s="218"/>
      <c r="F16" s="217">
        <f t="shared" si="0"/>
        <v>0</v>
      </c>
      <c r="G16" s="218"/>
      <c r="H16" s="180"/>
      <c r="I16" s="217">
        <f t="shared" si="1"/>
        <v>0</v>
      </c>
      <c r="J16" s="218"/>
      <c r="K16" s="227"/>
      <c r="L16" s="201"/>
    </row>
    <row r="17" ht="21" customHeight="1" spans="1:12">
      <c r="A17" s="221" t="s">
        <v>1264</v>
      </c>
      <c r="B17" s="222"/>
      <c r="C17" s="180"/>
      <c r="D17" s="222"/>
      <c r="E17" s="218"/>
      <c r="F17" s="217">
        <f t="shared" si="0"/>
        <v>0</v>
      </c>
      <c r="G17" s="218"/>
      <c r="H17" s="180"/>
      <c r="I17" s="217">
        <f t="shared" si="1"/>
        <v>0</v>
      </c>
      <c r="J17" s="218"/>
      <c r="K17" s="227"/>
      <c r="L17" s="201"/>
    </row>
    <row r="18" ht="21" customHeight="1" spans="1:12">
      <c r="A18" s="216" t="s">
        <v>1265</v>
      </c>
      <c r="B18" s="180">
        <f>B19+B23</f>
        <v>0</v>
      </c>
      <c r="C18" s="180">
        <f>C19+C23</f>
        <v>0</v>
      </c>
      <c r="D18" s="180">
        <f>D19+D23</f>
        <v>0</v>
      </c>
      <c r="E18" s="218"/>
      <c r="F18" s="217">
        <f t="shared" si="0"/>
        <v>0</v>
      </c>
      <c r="G18" s="218"/>
      <c r="H18" s="180">
        <f>H19+H23</f>
        <v>0</v>
      </c>
      <c r="I18" s="217">
        <f t="shared" si="1"/>
        <v>0</v>
      </c>
      <c r="J18" s="218"/>
      <c r="K18" s="257">
        <f>K19+K23</f>
        <v>0</v>
      </c>
      <c r="L18" s="201"/>
    </row>
    <row r="19" ht="21" customHeight="1" spans="1:12">
      <c r="A19" s="223" t="s">
        <v>1266</v>
      </c>
      <c r="B19" s="224">
        <f>SUM(B20:B22)</f>
        <v>0</v>
      </c>
      <c r="C19" s="224">
        <f>SUM(C20:C22)</f>
        <v>0</v>
      </c>
      <c r="D19" s="224">
        <f>SUM(D20:D22)</f>
        <v>0</v>
      </c>
      <c r="E19" s="218"/>
      <c r="F19" s="217">
        <f t="shared" si="0"/>
        <v>0</v>
      </c>
      <c r="G19" s="218"/>
      <c r="H19" s="224">
        <f>SUM(H20:H22)</f>
        <v>0</v>
      </c>
      <c r="I19" s="217">
        <f t="shared" si="1"/>
        <v>0</v>
      </c>
      <c r="J19" s="218"/>
      <c r="K19" s="230">
        <f>SUM(K20:K22)</f>
        <v>0</v>
      </c>
      <c r="L19" s="225"/>
    </row>
    <row r="20" ht="21" customHeight="1" spans="1:12">
      <c r="A20" s="221" t="s">
        <v>1267</v>
      </c>
      <c r="B20" s="222"/>
      <c r="C20" s="180"/>
      <c r="D20" s="222"/>
      <c r="E20" s="218"/>
      <c r="F20" s="217">
        <f t="shared" si="0"/>
        <v>0</v>
      </c>
      <c r="G20" s="218"/>
      <c r="H20" s="180"/>
      <c r="I20" s="217">
        <f t="shared" si="1"/>
        <v>0</v>
      </c>
      <c r="J20" s="218"/>
      <c r="K20" s="227"/>
      <c r="L20" s="225"/>
    </row>
    <row r="21" ht="21" customHeight="1" spans="1:12">
      <c r="A21" s="221" t="s">
        <v>1268</v>
      </c>
      <c r="B21" s="222"/>
      <c r="C21" s="180"/>
      <c r="D21" s="222"/>
      <c r="E21" s="218"/>
      <c r="F21" s="217">
        <f t="shared" si="0"/>
        <v>0</v>
      </c>
      <c r="G21" s="218"/>
      <c r="H21" s="180"/>
      <c r="I21" s="217">
        <f t="shared" si="1"/>
        <v>0</v>
      </c>
      <c r="J21" s="218"/>
      <c r="K21" s="227"/>
      <c r="L21" s="225"/>
    </row>
    <row r="22" ht="21" customHeight="1" spans="1:12">
      <c r="A22" s="221" t="s">
        <v>1269</v>
      </c>
      <c r="B22" s="222"/>
      <c r="C22" s="180"/>
      <c r="D22" s="222"/>
      <c r="E22" s="218"/>
      <c r="F22" s="217">
        <f t="shared" si="0"/>
        <v>0</v>
      </c>
      <c r="G22" s="218"/>
      <c r="H22" s="180"/>
      <c r="I22" s="217">
        <f t="shared" si="1"/>
        <v>0</v>
      </c>
      <c r="J22" s="218"/>
      <c r="K22" s="227"/>
      <c r="L22" s="225"/>
    </row>
    <row r="23" ht="21" customHeight="1" spans="1:12">
      <c r="A23" s="220" t="s">
        <v>1270</v>
      </c>
      <c r="B23" s="222"/>
      <c r="C23" s="180"/>
      <c r="D23" s="222"/>
      <c r="E23" s="218"/>
      <c r="F23" s="217">
        <f t="shared" si="0"/>
        <v>0</v>
      </c>
      <c r="G23" s="218"/>
      <c r="H23" s="180"/>
      <c r="I23" s="217">
        <f t="shared" si="1"/>
        <v>0</v>
      </c>
      <c r="J23" s="218"/>
      <c r="K23" s="227"/>
      <c r="L23" s="225"/>
    </row>
    <row r="24" ht="21" customHeight="1" spans="1:12">
      <c r="A24" s="221" t="s">
        <v>1267</v>
      </c>
      <c r="B24" s="222"/>
      <c r="C24" s="180"/>
      <c r="D24" s="222"/>
      <c r="E24" s="218"/>
      <c r="F24" s="217">
        <f t="shared" si="0"/>
        <v>0</v>
      </c>
      <c r="G24" s="218"/>
      <c r="H24" s="180"/>
      <c r="I24" s="217">
        <f t="shared" si="1"/>
        <v>0</v>
      </c>
      <c r="J24" s="218"/>
      <c r="K24" s="227"/>
      <c r="L24" s="225"/>
    </row>
    <row r="25" ht="21" customHeight="1" spans="1:12">
      <c r="A25" s="221" t="s">
        <v>1268</v>
      </c>
      <c r="B25" s="222"/>
      <c r="C25" s="180"/>
      <c r="D25" s="222"/>
      <c r="E25" s="218"/>
      <c r="F25" s="217">
        <f t="shared" si="0"/>
        <v>0</v>
      </c>
      <c r="G25" s="218"/>
      <c r="H25" s="180"/>
      <c r="I25" s="217">
        <f t="shared" si="1"/>
        <v>0</v>
      </c>
      <c r="J25" s="218"/>
      <c r="K25" s="227"/>
      <c r="L25" s="225"/>
    </row>
    <row r="26" ht="21" customHeight="1" spans="1:12">
      <c r="A26" s="226" t="s">
        <v>1271</v>
      </c>
      <c r="B26" s="222"/>
      <c r="C26" s="180"/>
      <c r="D26" s="222"/>
      <c r="E26" s="218"/>
      <c r="F26" s="217">
        <f t="shared" si="0"/>
        <v>0</v>
      </c>
      <c r="G26" s="218"/>
      <c r="H26" s="180"/>
      <c r="I26" s="217">
        <f t="shared" si="1"/>
        <v>0</v>
      </c>
      <c r="J26" s="218"/>
      <c r="K26" s="227"/>
      <c r="L26" s="225"/>
    </row>
    <row r="27" ht="21" customHeight="1" spans="1:12">
      <c r="A27" s="216" t="s">
        <v>1272</v>
      </c>
      <c r="B27" s="180">
        <f>B28+B35+B51+B57+B61+B62+B68+B74+B78+B82+B86</f>
        <v>39203.975569</v>
      </c>
      <c r="C27" s="180">
        <f>C28+C35+C51+C57+C61+C62+C68+C74+C78+C82+C86</f>
        <v>25976.3229</v>
      </c>
      <c r="D27" s="180">
        <f>D28+D35+D51+D57+D61+D62+D68+D74+D78+D82+D86</f>
        <v>129353</v>
      </c>
      <c r="E27" s="218">
        <f>D27/C27*100</f>
        <v>497.965014132158</v>
      </c>
      <c r="F27" s="217">
        <f t="shared" si="0"/>
        <v>90149.024431</v>
      </c>
      <c r="G27" s="218">
        <f>F27/B27*100</f>
        <v>229.948680261611</v>
      </c>
      <c r="H27" s="180">
        <f>H28+H35+H51+H57+H61+H62+H68+H74+H78+H82+H86</f>
        <v>16427.59</v>
      </c>
      <c r="I27" s="217">
        <f t="shared" si="1"/>
        <v>-9548.7329</v>
      </c>
      <c r="J27" s="218">
        <f>I27/C27*100</f>
        <v>-36.7593709731719</v>
      </c>
      <c r="K27" s="227"/>
      <c r="L27" s="201"/>
    </row>
    <row r="28" ht="21" customHeight="1" spans="1:12">
      <c r="A28" s="228" t="s">
        <v>1273</v>
      </c>
      <c r="B28" s="224"/>
      <c r="C28" s="224"/>
      <c r="D28" s="224"/>
      <c r="E28" s="218"/>
      <c r="F28" s="217">
        <f t="shared" si="0"/>
        <v>0</v>
      </c>
      <c r="G28" s="218"/>
      <c r="H28" s="224"/>
      <c r="I28" s="217">
        <f t="shared" si="1"/>
        <v>0</v>
      </c>
      <c r="J28" s="218"/>
      <c r="K28" s="227"/>
      <c r="L28" s="201"/>
    </row>
    <row r="29" ht="21" customHeight="1" spans="1:12">
      <c r="A29" s="226" t="s">
        <v>1274</v>
      </c>
      <c r="B29" s="222"/>
      <c r="C29" s="222"/>
      <c r="D29" s="222"/>
      <c r="E29" s="218"/>
      <c r="F29" s="217">
        <f t="shared" si="0"/>
        <v>0</v>
      </c>
      <c r="G29" s="218"/>
      <c r="H29" s="222"/>
      <c r="I29" s="217">
        <f t="shared" si="1"/>
        <v>0</v>
      </c>
      <c r="J29" s="218"/>
      <c r="K29" s="227"/>
      <c r="L29" s="201"/>
    </row>
    <row r="30" ht="21" customHeight="1" spans="1:12">
      <c r="A30" s="226" t="s">
        <v>1275</v>
      </c>
      <c r="B30" s="222"/>
      <c r="C30" s="222"/>
      <c r="D30" s="222"/>
      <c r="E30" s="218"/>
      <c r="F30" s="217">
        <f t="shared" si="0"/>
        <v>0</v>
      </c>
      <c r="G30" s="218"/>
      <c r="H30" s="222"/>
      <c r="I30" s="217">
        <f t="shared" si="1"/>
        <v>0</v>
      </c>
      <c r="J30" s="218"/>
      <c r="K30" s="227"/>
      <c r="L30" s="201"/>
    </row>
    <row r="31" ht="21" customHeight="1" spans="1:12">
      <c r="A31" s="229" t="s">
        <v>1276</v>
      </c>
      <c r="B31" s="222"/>
      <c r="C31" s="222"/>
      <c r="D31" s="222"/>
      <c r="E31" s="218"/>
      <c r="F31" s="217">
        <f t="shared" si="0"/>
        <v>0</v>
      </c>
      <c r="G31" s="218"/>
      <c r="H31" s="222"/>
      <c r="I31" s="217">
        <f t="shared" si="1"/>
        <v>0</v>
      </c>
      <c r="J31" s="218"/>
      <c r="K31" s="227"/>
      <c r="L31" s="201"/>
    </row>
    <row r="32" ht="21" customHeight="1" spans="1:12">
      <c r="A32" s="229" t="s">
        <v>1277</v>
      </c>
      <c r="B32" s="222"/>
      <c r="C32" s="222"/>
      <c r="D32" s="222"/>
      <c r="E32" s="218"/>
      <c r="F32" s="217">
        <f t="shared" si="0"/>
        <v>0</v>
      </c>
      <c r="G32" s="218"/>
      <c r="H32" s="222"/>
      <c r="I32" s="217">
        <f t="shared" si="1"/>
        <v>0</v>
      </c>
      <c r="J32" s="218"/>
      <c r="K32" s="227"/>
      <c r="L32" s="201"/>
    </row>
    <row r="33" ht="21" customHeight="1" spans="1:12">
      <c r="A33" s="229" t="s">
        <v>1278</v>
      </c>
      <c r="B33" s="222"/>
      <c r="C33" s="222"/>
      <c r="D33" s="222"/>
      <c r="E33" s="218"/>
      <c r="F33" s="217">
        <f t="shared" si="0"/>
        <v>0</v>
      </c>
      <c r="G33" s="218"/>
      <c r="H33" s="222"/>
      <c r="I33" s="217">
        <f t="shared" si="1"/>
        <v>0</v>
      </c>
      <c r="J33" s="218"/>
      <c r="K33" s="227"/>
      <c r="L33" s="201"/>
    </row>
    <row r="34" ht="21" customHeight="1" spans="1:12">
      <c r="A34" s="226" t="s">
        <v>1279</v>
      </c>
      <c r="B34" s="222"/>
      <c r="C34" s="222"/>
      <c r="D34" s="222"/>
      <c r="E34" s="218"/>
      <c r="F34" s="217">
        <f t="shared" si="0"/>
        <v>0</v>
      </c>
      <c r="G34" s="218"/>
      <c r="H34" s="222"/>
      <c r="I34" s="217">
        <f t="shared" si="1"/>
        <v>0</v>
      </c>
      <c r="J34" s="218"/>
      <c r="K34" s="227"/>
      <c r="L34" s="201"/>
    </row>
    <row r="35" ht="21" customHeight="1" spans="1:12">
      <c r="A35" s="228" t="s">
        <v>1280</v>
      </c>
      <c r="B35" s="224">
        <f>SUM(B36:B50)</f>
        <v>15329.915874</v>
      </c>
      <c r="C35" s="224">
        <f>SUM(C36:C50)</f>
        <v>24688.3229</v>
      </c>
      <c r="D35" s="224">
        <f>SUM(D36:D50)</f>
        <v>28051</v>
      </c>
      <c r="E35" s="218">
        <f>D35/C35*100</f>
        <v>113.620516523623</v>
      </c>
      <c r="F35" s="217">
        <f t="shared" si="0"/>
        <v>12721.084126</v>
      </c>
      <c r="G35" s="218">
        <f>F35/B35*100</f>
        <v>82.9820869896314</v>
      </c>
      <c r="H35" s="224">
        <f>SUM(H36:H50)</f>
        <v>15231.59</v>
      </c>
      <c r="I35" s="217">
        <f t="shared" si="1"/>
        <v>-9456.7329</v>
      </c>
      <c r="J35" s="218">
        <f>I35/C35*100</f>
        <v>-38.3044767289559</v>
      </c>
      <c r="K35" s="230">
        <f>SUM(K36:K50)</f>
        <v>0</v>
      </c>
      <c r="L35" s="201"/>
    </row>
    <row r="36" ht="21" customHeight="1" spans="1:12">
      <c r="A36" s="226" t="s">
        <v>1281</v>
      </c>
      <c r="B36" s="231">
        <v>7350.069749</v>
      </c>
      <c r="C36" s="232">
        <v>15429.71</v>
      </c>
      <c r="D36" s="231">
        <v>25736</v>
      </c>
      <c r="E36" s="218">
        <f>D36/C36*100</f>
        <v>166.795098546894</v>
      </c>
      <c r="F36" s="217">
        <f t="shared" si="0"/>
        <v>18385.930251</v>
      </c>
      <c r="G36" s="218">
        <f>F36/B36*100</f>
        <v>250.146337094304</v>
      </c>
      <c r="H36" s="232">
        <v>8943.59</v>
      </c>
      <c r="I36" s="217">
        <f t="shared" si="1"/>
        <v>-6486.12</v>
      </c>
      <c r="J36" s="218">
        <f>I36/C36*100</f>
        <v>-42.0365645238958</v>
      </c>
      <c r="K36" s="227"/>
      <c r="L36" s="201"/>
    </row>
    <row r="37" ht="21" customHeight="1" spans="1:12">
      <c r="A37" s="226" t="s">
        <v>1282</v>
      </c>
      <c r="B37" s="222">
        <v>5714.44687</v>
      </c>
      <c r="C37" s="232">
        <v>200</v>
      </c>
      <c r="D37" s="222">
        <v>132</v>
      </c>
      <c r="E37" s="218">
        <f>D37/C37*100</f>
        <v>66</v>
      </c>
      <c r="F37" s="217">
        <f t="shared" si="0"/>
        <v>-5582.44687</v>
      </c>
      <c r="G37" s="218">
        <f>F37/B37*100</f>
        <v>-97.6900651453603</v>
      </c>
      <c r="H37" s="232">
        <v>400</v>
      </c>
      <c r="I37" s="217">
        <f t="shared" si="1"/>
        <v>200</v>
      </c>
      <c r="J37" s="218">
        <f>I37/C37*100</f>
        <v>100</v>
      </c>
      <c r="K37" s="227"/>
      <c r="L37" s="201"/>
    </row>
    <row r="38" ht="21" customHeight="1" spans="1:12">
      <c r="A38" s="226" t="s">
        <v>1283</v>
      </c>
      <c r="B38" s="222"/>
      <c r="C38" s="232"/>
      <c r="D38" s="222"/>
      <c r="E38" s="218"/>
      <c r="F38" s="217">
        <f t="shared" si="0"/>
        <v>0</v>
      </c>
      <c r="G38" s="218"/>
      <c r="H38" s="232"/>
      <c r="I38" s="217">
        <f t="shared" si="1"/>
        <v>0</v>
      </c>
      <c r="J38" s="218"/>
      <c r="K38" s="227"/>
      <c r="L38" s="201"/>
    </row>
    <row r="39" ht="21" customHeight="1" spans="1:12">
      <c r="A39" s="226" t="s">
        <v>1284</v>
      </c>
      <c r="B39" s="222">
        <v>375.440574</v>
      </c>
      <c r="C39" s="232">
        <v>6500</v>
      </c>
      <c r="D39" s="222">
        <v>524</v>
      </c>
      <c r="E39" s="218">
        <f>D39/C39*100</f>
        <v>8.06153846153846</v>
      </c>
      <c r="F39" s="217">
        <f t="shared" ref="F39:F70" si="2">D39-B39</f>
        <v>148.559426</v>
      </c>
      <c r="G39" s="218">
        <f>F39/B39*100</f>
        <v>39.5693583187415</v>
      </c>
      <c r="H39" s="232">
        <v>3571</v>
      </c>
      <c r="I39" s="217">
        <f t="shared" ref="I39:I70" si="3">H39-C39</f>
        <v>-2929</v>
      </c>
      <c r="J39" s="218">
        <f>I39/C39*100</f>
        <v>-45.0615384615385</v>
      </c>
      <c r="K39" s="227"/>
      <c r="L39" s="233"/>
    </row>
    <row r="40" ht="21" customHeight="1" spans="1:12">
      <c r="A40" s="226" t="s">
        <v>1285</v>
      </c>
      <c r="B40" s="222">
        <v>524.759581</v>
      </c>
      <c r="C40" s="232">
        <v>500</v>
      </c>
      <c r="D40" s="222">
        <v>80</v>
      </c>
      <c r="E40" s="218">
        <f>D40/C40*100</f>
        <v>16</v>
      </c>
      <c r="F40" s="217">
        <f t="shared" si="2"/>
        <v>-444.759581</v>
      </c>
      <c r="G40" s="218">
        <f>F40/B40*100</f>
        <v>-84.7549234170152</v>
      </c>
      <c r="H40" s="232">
        <v>500</v>
      </c>
      <c r="I40" s="217">
        <f t="shared" si="3"/>
        <v>0</v>
      </c>
      <c r="J40" s="218">
        <f>I40/C40*100</f>
        <v>0</v>
      </c>
      <c r="K40" s="227"/>
      <c r="L40" s="233"/>
    </row>
    <row r="41" ht="21" customHeight="1" spans="1:12">
      <c r="A41" s="234" t="s">
        <v>1286</v>
      </c>
      <c r="B41" s="222"/>
      <c r="C41" s="232">
        <v>31</v>
      </c>
      <c r="D41" s="222">
        <v>8</v>
      </c>
      <c r="E41" s="218">
        <f>D41/C41*100</f>
        <v>25.8064516129032</v>
      </c>
      <c r="F41" s="217">
        <f t="shared" si="2"/>
        <v>8</v>
      </c>
      <c r="G41" s="218"/>
      <c r="H41" s="232">
        <v>31</v>
      </c>
      <c r="I41" s="217">
        <f t="shared" si="3"/>
        <v>0</v>
      </c>
      <c r="J41" s="218">
        <f>I41/C41*100</f>
        <v>0</v>
      </c>
      <c r="K41" s="227"/>
      <c r="L41" s="233"/>
    </row>
    <row r="42" ht="21" customHeight="1" spans="1:12">
      <c r="A42" s="226" t="s">
        <v>1275</v>
      </c>
      <c r="B42" s="222"/>
      <c r="C42" s="232"/>
      <c r="D42" s="222"/>
      <c r="E42" s="218"/>
      <c r="F42" s="217">
        <f t="shared" si="2"/>
        <v>0</v>
      </c>
      <c r="G42" s="218"/>
      <c r="H42" s="232"/>
      <c r="I42" s="217">
        <f t="shared" si="3"/>
        <v>0</v>
      </c>
      <c r="J42" s="218"/>
      <c r="K42" s="227"/>
      <c r="L42" s="233"/>
    </row>
    <row r="43" ht="21" customHeight="1" spans="1:12">
      <c r="A43" s="226" t="s">
        <v>1287</v>
      </c>
      <c r="B43" s="222"/>
      <c r="C43" s="232"/>
      <c r="D43" s="222"/>
      <c r="E43" s="218"/>
      <c r="F43" s="217">
        <f t="shared" si="2"/>
        <v>0</v>
      </c>
      <c r="G43" s="218"/>
      <c r="H43" s="232"/>
      <c r="I43" s="217">
        <f t="shared" si="3"/>
        <v>0</v>
      </c>
      <c r="J43" s="218"/>
      <c r="K43" s="227"/>
      <c r="L43" s="233"/>
    </row>
    <row r="44" ht="21" customHeight="1" spans="1:12">
      <c r="A44" s="226" t="s">
        <v>1288</v>
      </c>
      <c r="B44" s="222"/>
      <c r="C44" s="232"/>
      <c r="D44" s="222"/>
      <c r="E44" s="218"/>
      <c r="F44" s="217">
        <f t="shared" si="2"/>
        <v>0</v>
      </c>
      <c r="G44" s="218"/>
      <c r="H44" s="232"/>
      <c r="I44" s="217">
        <f t="shared" si="3"/>
        <v>0</v>
      </c>
      <c r="J44" s="218"/>
      <c r="K44" s="227"/>
      <c r="L44" s="233"/>
    </row>
    <row r="45" ht="21" customHeight="1" spans="1:12">
      <c r="A45" s="229" t="s">
        <v>1276</v>
      </c>
      <c r="B45" s="222"/>
      <c r="C45" s="232"/>
      <c r="D45" s="222"/>
      <c r="E45" s="218"/>
      <c r="F45" s="217">
        <f t="shared" si="2"/>
        <v>0</v>
      </c>
      <c r="G45" s="218"/>
      <c r="H45" s="232"/>
      <c r="I45" s="217">
        <f t="shared" si="3"/>
        <v>0</v>
      </c>
      <c r="J45" s="218"/>
      <c r="K45" s="227"/>
      <c r="L45" s="233"/>
    </row>
    <row r="46" ht="21" customHeight="1" spans="1:12">
      <c r="A46" s="229" t="s">
        <v>1278</v>
      </c>
      <c r="B46" s="222"/>
      <c r="C46" s="222"/>
      <c r="D46" s="222"/>
      <c r="E46" s="218"/>
      <c r="F46" s="217">
        <f t="shared" si="2"/>
        <v>0</v>
      </c>
      <c r="G46" s="218"/>
      <c r="H46" s="222"/>
      <c r="I46" s="217">
        <f t="shared" si="3"/>
        <v>0</v>
      </c>
      <c r="J46" s="218"/>
      <c r="K46" s="227"/>
      <c r="L46" s="233"/>
    </row>
    <row r="47" ht="21" customHeight="1" spans="1:12">
      <c r="A47" s="229" t="s">
        <v>1289</v>
      </c>
      <c r="B47" s="222"/>
      <c r="C47" s="222"/>
      <c r="D47" s="222">
        <v>1296</v>
      </c>
      <c r="E47" s="218"/>
      <c r="F47" s="217">
        <f t="shared" si="2"/>
        <v>1296</v>
      </c>
      <c r="G47" s="218"/>
      <c r="H47" s="222">
        <v>1786</v>
      </c>
      <c r="I47" s="217">
        <f t="shared" si="3"/>
        <v>1786</v>
      </c>
      <c r="J47" s="218"/>
      <c r="K47" s="227"/>
      <c r="L47" s="233"/>
    </row>
    <row r="48" ht="21" customHeight="1" spans="1:12">
      <c r="A48" s="229" t="s">
        <v>1290</v>
      </c>
      <c r="B48" s="222"/>
      <c r="C48" s="222"/>
      <c r="D48" s="222"/>
      <c r="E48" s="218"/>
      <c r="F48" s="217">
        <f t="shared" si="2"/>
        <v>0</v>
      </c>
      <c r="G48" s="218"/>
      <c r="H48" s="222"/>
      <c r="I48" s="217">
        <f t="shared" si="3"/>
        <v>0</v>
      </c>
      <c r="J48" s="218"/>
      <c r="K48" s="227"/>
      <c r="L48" s="233"/>
    </row>
    <row r="49" ht="21" customHeight="1" spans="1:12">
      <c r="A49" s="229" t="s">
        <v>1291</v>
      </c>
      <c r="B49" s="222"/>
      <c r="C49" s="222"/>
      <c r="D49" s="222">
        <v>154</v>
      </c>
      <c r="E49" s="218"/>
      <c r="F49" s="217">
        <f t="shared" si="2"/>
        <v>154</v>
      </c>
      <c r="G49" s="218"/>
      <c r="H49" s="222"/>
      <c r="I49" s="217">
        <f t="shared" si="3"/>
        <v>0</v>
      </c>
      <c r="J49" s="218"/>
      <c r="K49" s="227"/>
      <c r="L49" s="233"/>
    </row>
    <row r="50" ht="21" customHeight="1" spans="1:12">
      <c r="A50" s="226" t="s">
        <v>1292</v>
      </c>
      <c r="B50" s="222">
        <v>1365.1991</v>
      </c>
      <c r="C50" s="222">
        <v>2027.6129</v>
      </c>
      <c r="D50" s="222">
        <v>121</v>
      </c>
      <c r="E50" s="218">
        <f>D50/C50*100</f>
        <v>5.96760851146686</v>
      </c>
      <c r="F50" s="217">
        <f t="shared" si="2"/>
        <v>-1244.1991</v>
      </c>
      <c r="G50" s="218">
        <f>F50/B50*100</f>
        <v>-91.1368239255359</v>
      </c>
      <c r="H50" s="222"/>
      <c r="I50" s="217">
        <f t="shared" si="3"/>
        <v>-2027.6129</v>
      </c>
      <c r="J50" s="218">
        <f>I50/C50*100</f>
        <v>-100</v>
      </c>
      <c r="K50" s="227"/>
      <c r="L50" s="233"/>
    </row>
    <row r="51" ht="21" customHeight="1" spans="1:12">
      <c r="A51" s="228" t="s">
        <v>1293</v>
      </c>
      <c r="B51" s="217"/>
      <c r="C51" s="217"/>
      <c r="D51" s="217"/>
      <c r="E51" s="218"/>
      <c r="F51" s="217">
        <f t="shared" si="2"/>
        <v>0</v>
      </c>
      <c r="G51" s="218"/>
      <c r="H51" s="217"/>
      <c r="I51" s="217">
        <f t="shared" si="3"/>
        <v>0</v>
      </c>
      <c r="J51" s="218"/>
      <c r="K51" s="227"/>
      <c r="L51" s="233"/>
    </row>
    <row r="52" ht="21" customHeight="1" spans="1:12">
      <c r="A52" s="226" t="s">
        <v>1294</v>
      </c>
      <c r="B52" s="222"/>
      <c r="C52" s="222"/>
      <c r="D52" s="222"/>
      <c r="E52" s="218"/>
      <c r="F52" s="217">
        <f t="shared" si="2"/>
        <v>0</v>
      </c>
      <c r="G52" s="218"/>
      <c r="H52" s="222"/>
      <c r="I52" s="217">
        <f t="shared" si="3"/>
        <v>0</v>
      </c>
      <c r="J52" s="218"/>
      <c r="K52" s="227"/>
      <c r="L52" s="233"/>
    </row>
    <row r="53" ht="21" customHeight="1" spans="1:12">
      <c r="A53" s="226" t="s">
        <v>1295</v>
      </c>
      <c r="B53" s="222"/>
      <c r="C53" s="222"/>
      <c r="D53" s="222"/>
      <c r="E53" s="218"/>
      <c r="F53" s="217">
        <f t="shared" si="2"/>
        <v>0</v>
      </c>
      <c r="G53" s="218"/>
      <c r="H53" s="222"/>
      <c r="I53" s="217">
        <f t="shared" si="3"/>
        <v>0</v>
      </c>
      <c r="J53" s="218"/>
      <c r="K53" s="227"/>
      <c r="L53" s="233"/>
    </row>
    <row r="54" ht="21" customHeight="1" spans="1:12">
      <c r="A54" s="226" t="s">
        <v>1296</v>
      </c>
      <c r="B54" s="222"/>
      <c r="C54" s="222"/>
      <c r="D54" s="222"/>
      <c r="E54" s="218"/>
      <c r="F54" s="217">
        <f t="shared" si="2"/>
        <v>0</v>
      </c>
      <c r="G54" s="218"/>
      <c r="H54" s="222"/>
      <c r="I54" s="217">
        <f t="shared" si="3"/>
        <v>0</v>
      </c>
      <c r="J54" s="218"/>
      <c r="K54" s="227"/>
      <c r="L54" s="233"/>
    </row>
    <row r="55" ht="21" customHeight="1" spans="1:12">
      <c r="A55" s="226" t="s">
        <v>1297</v>
      </c>
      <c r="B55" s="222"/>
      <c r="C55" s="222"/>
      <c r="D55" s="222"/>
      <c r="E55" s="218"/>
      <c r="F55" s="217">
        <f t="shared" si="2"/>
        <v>0</v>
      </c>
      <c r="G55" s="218"/>
      <c r="H55" s="222"/>
      <c r="I55" s="217">
        <f t="shared" si="3"/>
        <v>0</v>
      </c>
      <c r="J55" s="218"/>
      <c r="K55" s="227"/>
      <c r="L55" s="233"/>
    </row>
    <row r="56" ht="21" customHeight="1" spans="1:12">
      <c r="A56" s="226" t="s">
        <v>1298</v>
      </c>
      <c r="B56" s="222"/>
      <c r="C56" s="222"/>
      <c r="D56" s="222"/>
      <c r="E56" s="218"/>
      <c r="F56" s="217">
        <f t="shared" si="2"/>
        <v>0</v>
      </c>
      <c r="G56" s="218"/>
      <c r="H56" s="222"/>
      <c r="I56" s="217">
        <f t="shared" si="3"/>
        <v>0</v>
      </c>
      <c r="J56" s="218"/>
      <c r="K56" s="227"/>
      <c r="L56" s="233"/>
    </row>
    <row r="57" ht="21" customHeight="1" spans="1:12">
      <c r="A57" s="228" t="s">
        <v>1299</v>
      </c>
      <c r="B57" s="224"/>
      <c r="C57" s="224"/>
      <c r="D57" s="224"/>
      <c r="E57" s="218"/>
      <c r="F57" s="217">
        <f t="shared" si="2"/>
        <v>0</v>
      </c>
      <c r="G57" s="218"/>
      <c r="H57" s="224"/>
      <c r="I57" s="217">
        <f t="shared" si="3"/>
        <v>0</v>
      </c>
      <c r="J57" s="218"/>
      <c r="K57" s="227"/>
      <c r="L57" s="233"/>
    </row>
    <row r="58" ht="21" customHeight="1" spans="1:12">
      <c r="A58" s="226" t="s">
        <v>1300</v>
      </c>
      <c r="B58" s="224"/>
      <c r="C58" s="224"/>
      <c r="D58" s="224"/>
      <c r="E58" s="218"/>
      <c r="F58" s="217">
        <f t="shared" si="2"/>
        <v>0</v>
      </c>
      <c r="G58" s="218"/>
      <c r="H58" s="224"/>
      <c r="I58" s="217">
        <f t="shared" si="3"/>
        <v>0</v>
      </c>
      <c r="J58" s="218"/>
      <c r="K58" s="227"/>
      <c r="L58" s="233"/>
    </row>
    <row r="59" ht="21" customHeight="1" spans="1:12">
      <c r="A59" s="226" t="s">
        <v>1301</v>
      </c>
      <c r="B59" s="224"/>
      <c r="C59" s="224"/>
      <c r="D59" s="224"/>
      <c r="E59" s="218"/>
      <c r="F59" s="217">
        <f t="shared" si="2"/>
        <v>0</v>
      </c>
      <c r="G59" s="218"/>
      <c r="H59" s="224"/>
      <c r="I59" s="217">
        <f t="shared" si="3"/>
        <v>0</v>
      </c>
      <c r="J59" s="218"/>
      <c r="K59" s="227"/>
      <c r="L59" s="233"/>
    </row>
    <row r="60" ht="21" customHeight="1" spans="1:12">
      <c r="A60" s="226" t="s">
        <v>1302</v>
      </c>
      <c r="B60" s="222"/>
      <c r="C60" s="222"/>
      <c r="D60" s="222"/>
      <c r="E60" s="218"/>
      <c r="F60" s="217">
        <f t="shared" si="2"/>
        <v>0</v>
      </c>
      <c r="G60" s="218"/>
      <c r="H60" s="222"/>
      <c r="I60" s="217">
        <f t="shared" si="3"/>
        <v>0</v>
      </c>
      <c r="J60" s="218"/>
      <c r="K60" s="227"/>
      <c r="L60" s="233"/>
    </row>
    <row r="61" ht="21" customHeight="1" spans="1:12">
      <c r="A61" s="228" t="s">
        <v>1303</v>
      </c>
      <c r="B61" s="224"/>
      <c r="C61" s="224"/>
      <c r="D61" s="224"/>
      <c r="E61" s="218"/>
      <c r="F61" s="217">
        <f t="shared" si="2"/>
        <v>0</v>
      </c>
      <c r="G61" s="218"/>
      <c r="H61" s="224"/>
      <c r="I61" s="217">
        <f t="shared" si="3"/>
        <v>0</v>
      </c>
      <c r="J61" s="218"/>
      <c r="K61" s="227"/>
      <c r="L61" s="233"/>
    </row>
    <row r="62" ht="21" customHeight="1" spans="1:12">
      <c r="A62" s="228" t="s">
        <v>1304</v>
      </c>
      <c r="B62" s="180"/>
      <c r="C62" s="180"/>
      <c r="D62" s="180"/>
      <c r="E62" s="218"/>
      <c r="F62" s="217">
        <f t="shared" si="2"/>
        <v>0</v>
      </c>
      <c r="G62" s="218"/>
      <c r="H62" s="180"/>
      <c r="I62" s="217">
        <f t="shared" si="3"/>
        <v>0</v>
      </c>
      <c r="J62" s="218"/>
      <c r="K62" s="227"/>
      <c r="L62" s="233"/>
    </row>
    <row r="63" ht="21" customHeight="1" spans="1:12">
      <c r="A63" s="226" t="s">
        <v>1305</v>
      </c>
      <c r="B63" s="222"/>
      <c r="C63" s="222"/>
      <c r="D63" s="222"/>
      <c r="E63" s="218"/>
      <c r="F63" s="217">
        <f t="shared" si="2"/>
        <v>0</v>
      </c>
      <c r="G63" s="218"/>
      <c r="H63" s="222"/>
      <c r="I63" s="217">
        <f t="shared" si="3"/>
        <v>0</v>
      </c>
      <c r="J63" s="218"/>
      <c r="K63" s="227"/>
      <c r="L63" s="233"/>
    </row>
    <row r="64" ht="21" customHeight="1" spans="1:12">
      <c r="A64" s="226" t="s">
        <v>1306</v>
      </c>
      <c r="B64" s="222"/>
      <c r="C64" s="222"/>
      <c r="D64" s="222"/>
      <c r="E64" s="218"/>
      <c r="F64" s="217">
        <f t="shared" si="2"/>
        <v>0</v>
      </c>
      <c r="G64" s="218"/>
      <c r="H64" s="222"/>
      <c r="I64" s="217">
        <f t="shared" si="3"/>
        <v>0</v>
      </c>
      <c r="J64" s="218"/>
      <c r="K64" s="227"/>
      <c r="L64" s="233"/>
    </row>
    <row r="65" ht="21" customHeight="1" spans="1:12">
      <c r="A65" s="226" t="s">
        <v>1307</v>
      </c>
      <c r="B65" s="222"/>
      <c r="C65" s="222"/>
      <c r="D65" s="222"/>
      <c r="E65" s="218"/>
      <c r="F65" s="217">
        <f t="shared" si="2"/>
        <v>0</v>
      </c>
      <c r="G65" s="218"/>
      <c r="H65" s="222"/>
      <c r="I65" s="217">
        <f t="shared" si="3"/>
        <v>0</v>
      </c>
      <c r="J65" s="218"/>
      <c r="K65" s="227"/>
      <c r="L65" s="233"/>
    </row>
    <row r="66" ht="21" customHeight="1" spans="1:12">
      <c r="A66" s="226" t="s">
        <v>1308</v>
      </c>
      <c r="B66" s="222"/>
      <c r="C66" s="222"/>
      <c r="D66" s="222"/>
      <c r="E66" s="218"/>
      <c r="F66" s="217">
        <f t="shared" si="2"/>
        <v>0</v>
      </c>
      <c r="G66" s="218"/>
      <c r="H66" s="222"/>
      <c r="I66" s="217">
        <f t="shared" si="3"/>
        <v>0</v>
      </c>
      <c r="J66" s="218"/>
      <c r="K66" s="227"/>
      <c r="L66" s="233"/>
    </row>
    <row r="67" ht="21" customHeight="1" spans="1:12">
      <c r="A67" s="226" t="s">
        <v>1309</v>
      </c>
      <c r="B67" s="222"/>
      <c r="C67" s="222"/>
      <c r="D67" s="222"/>
      <c r="E67" s="218"/>
      <c r="F67" s="217">
        <f t="shared" si="2"/>
        <v>0</v>
      </c>
      <c r="G67" s="218"/>
      <c r="H67" s="222"/>
      <c r="I67" s="217">
        <f t="shared" si="3"/>
        <v>0</v>
      </c>
      <c r="J67" s="218"/>
      <c r="K67" s="227"/>
      <c r="L67" s="233"/>
    </row>
    <row r="68" ht="21" customHeight="1" spans="1:12">
      <c r="A68" s="228" t="s">
        <v>1310</v>
      </c>
      <c r="B68" s="224"/>
      <c r="C68" s="224">
        <v>70</v>
      </c>
      <c r="D68" s="224"/>
      <c r="E68" s="218">
        <f>D68/C68*100</f>
        <v>0</v>
      </c>
      <c r="F68" s="217">
        <f t="shared" si="2"/>
        <v>0</v>
      </c>
      <c r="G68" s="218"/>
      <c r="H68" s="224"/>
      <c r="I68" s="217">
        <f t="shared" si="3"/>
        <v>-70</v>
      </c>
      <c r="J68" s="218">
        <f>I68/C68*100</f>
        <v>-100</v>
      </c>
      <c r="K68" s="227"/>
      <c r="L68" s="233"/>
    </row>
    <row r="69" ht="21" customHeight="1" spans="1:12">
      <c r="A69" s="226" t="s">
        <v>1294</v>
      </c>
      <c r="B69" s="224"/>
      <c r="C69" s="235"/>
      <c r="D69" s="224"/>
      <c r="E69" s="218"/>
      <c r="F69" s="217">
        <f t="shared" si="2"/>
        <v>0</v>
      </c>
      <c r="G69" s="218"/>
      <c r="H69" s="235"/>
      <c r="I69" s="217">
        <f t="shared" si="3"/>
        <v>0</v>
      </c>
      <c r="J69" s="218"/>
      <c r="K69" s="227"/>
      <c r="L69" s="233"/>
    </row>
    <row r="70" ht="21" customHeight="1" spans="1:12">
      <c r="A70" s="226" t="s">
        <v>1295</v>
      </c>
      <c r="B70" s="224"/>
      <c r="C70" s="235"/>
      <c r="D70" s="224"/>
      <c r="E70" s="218"/>
      <c r="F70" s="217">
        <f t="shared" si="2"/>
        <v>0</v>
      </c>
      <c r="G70" s="218"/>
      <c r="H70" s="235"/>
      <c r="I70" s="217">
        <f t="shared" si="3"/>
        <v>0</v>
      </c>
      <c r="J70" s="218"/>
      <c r="K70" s="227"/>
      <c r="L70" s="233"/>
    </row>
    <row r="71" ht="21" customHeight="1" spans="1:12">
      <c r="A71" s="226" t="s">
        <v>1296</v>
      </c>
      <c r="B71" s="224"/>
      <c r="C71" s="235"/>
      <c r="D71" s="224"/>
      <c r="E71" s="218"/>
      <c r="F71" s="217">
        <f t="shared" ref="F71:F102" si="4">D71-B71</f>
        <v>0</v>
      </c>
      <c r="G71" s="218"/>
      <c r="H71" s="235"/>
      <c r="I71" s="217">
        <f t="shared" ref="I71:I102" si="5">H71-C71</f>
        <v>0</v>
      </c>
      <c r="J71" s="218"/>
      <c r="K71" s="227"/>
      <c r="L71" s="233"/>
    </row>
    <row r="72" ht="21" customHeight="1" spans="1:12">
      <c r="A72" s="226" t="s">
        <v>1297</v>
      </c>
      <c r="B72" s="224"/>
      <c r="C72" s="235"/>
      <c r="D72" s="224"/>
      <c r="E72" s="218"/>
      <c r="F72" s="217">
        <f t="shared" si="4"/>
        <v>0</v>
      </c>
      <c r="G72" s="218"/>
      <c r="H72" s="235"/>
      <c r="I72" s="217">
        <f t="shared" si="5"/>
        <v>0</v>
      </c>
      <c r="J72" s="218"/>
      <c r="K72" s="227"/>
      <c r="L72" s="233"/>
    </row>
    <row r="73" ht="21" customHeight="1" spans="1:12">
      <c r="A73" s="226" t="s">
        <v>1311</v>
      </c>
      <c r="B73" s="224"/>
      <c r="C73" s="222">
        <v>70</v>
      </c>
      <c r="D73" s="224"/>
      <c r="E73" s="218">
        <f>D73/C73*100</f>
        <v>0</v>
      </c>
      <c r="F73" s="217">
        <f t="shared" si="4"/>
        <v>0</v>
      </c>
      <c r="G73" s="218"/>
      <c r="H73" s="222"/>
      <c r="I73" s="217">
        <f t="shared" si="5"/>
        <v>-70</v>
      </c>
      <c r="J73" s="218">
        <f>I73/C73*100</f>
        <v>-100</v>
      </c>
      <c r="K73" s="227"/>
      <c r="L73" s="233"/>
    </row>
    <row r="74" ht="21" customHeight="1" spans="1:12">
      <c r="A74" s="236" t="s">
        <v>1312</v>
      </c>
      <c r="B74" s="224">
        <f>SUM(B75:B77)</f>
        <v>1028</v>
      </c>
      <c r="C74" s="224">
        <f>SUM(C75:C77)</f>
        <v>1218</v>
      </c>
      <c r="D74" s="224">
        <f>SUM(D75:D77)</f>
        <v>1075</v>
      </c>
      <c r="E74" s="218">
        <f>D74/C74*100</f>
        <v>88.2594417077176</v>
      </c>
      <c r="F74" s="217">
        <f t="shared" si="4"/>
        <v>47</v>
      </c>
      <c r="G74" s="218">
        <f>F74/B74*100</f>
        <v>4.57198443579767</v>
      </c>
      <c r="H74" s="224">
        <f>SUM(H75:H77)</f>
        <v>1196</v>
      </c>
      <c r="I74" s="217">
        <f t="shared" si="5"/>
        <v>-22</v>
      </c>
      <c r="J74" s="218">
        <f>I74/C74*100</f>
        <v>-1.80623973727422</v>
      </c>
      <c r="K74" s="227"/>
      <c r="L74" s="233"/>
    </row>
    <row r="75" ht="21" customHeight="1" spans="1:12">
      <c r="A75" s="226" t="s">
        <v>1313</v>
      </c>
      <c r="B75" s="224">
        <v>1028</v>
      </c>
      <c r="C75" s="224">
        <v>1218</v>
      </c>
      <c r="D75" s="224">
        <v>1075</v>
      </c>
      <c r="E75" s="218">
        <f>D75/C75*100</f>
        <v>88.2594417077176</v>
      </c>
      <c r="F75" s="217">
        <f t="shared" si="4"/>
        <v>47</v>
      </c>
      <c r="G75" s="218">
        <f>F75/B75*100</f>
        <v>4.57198443579767</v>
      </c>
      <c r="H75" s="224">
        <v>1196</v>
      </c>
      <c r="I75" s="217">
        <f t="shared" si="5"/>
        <v>-22</v>
      </c>
      <c r="J75" s="218">
        <f>I75/C75*100</f>
        <v>-1.80623973727422</v>
      </c>
      <c r="K75" s="227"/>
      <c r="L75" s="233"/>
    </row>
    <row r="76" ht="21" customHeight="1" spans="1:12">
      <c r="A76" s="226" t="s">
        <v>1314</v>
      </c>
      <c r="B76" s="224"/>
      <c r="C76" s="224"/>
      <c r="D76" s="224"/>
      <c r="E76" s="218"/>
      <c r="F76" s="217">
        <f t="shared" si="4"/>
        <v>0</v>
      </c>
      <c r="G76" s="218"/>
      <c r="H76" s="224"/>
      <c r="I76" s="217">
        <f t="shared" si="5"/>
        <v>0</v>
      </c>
      <c r="J76" s="218"/>
      <c r="K76" s="227"/>
      <c r="L76" s="233"/>
    </row>
    <row r="77" ht="21" customHeight="1" spans="1:12">
      <c r="A77" s="226" t="s">
        <v>1315</v>
      </c>
      <c r="B77" s="224"/>
      <c r="C77" s="224"/>
      <c r="D77" s="224"/>
      <c r="E77" s="218"/>
      <c r="F77" s="217">
        <f t="shared" si="4"/>
        <v>0</v>
      </c>
      <c r="G77" s="218"/>
      <c r="H77" s="224"/>
      <c r="I77" s="217">
        <f t="shared" si="5"/>
        <v>0</v>
      </c>
      <c r="J77" s="218"/>
      <c r="K77" s="227"/>
      <c r="L77" s="233"/>
    </row>
    <row r="78" ht="21" customHeight="1" spans="1:12">
      <c r="A78" s="236" t="s">
        <v>1316</v>
      </c>
      <c r="B78" s="224"/>
      <c r="C78" s="224"/>
      <c r="D78" s="224"/>
      <c r="E78" s="218"/>
      <c r="F78" s="217">
        <f t="shared" si="4"/>
        <v>0</v>
      </c>
      <c r="G78" s="218"/>
      <c r="H78" s="224"/>
      <c r="I78" s="217">
        <f t="shared" si="5"/>
        <v>0</v>
      </c>
      <c r="J78" s="218"/>
      <c r="K78" s="227"/>
      <c r="L78" s="233"/>
    </row>
    <row r="79" ht="21" customHeight="1" spans="1:12">
      <c r="A79" s="226" t="s">
        <v>1281</v>
      </c>
      <c r="B79" s="224"/>
      <c r="C79" s="224"/>
      <c r="D79" s="224"/>
      <c r="E79" s="218"/>
      <c r="F79" s="217">
        <f t="shared" si="4"/>
        <v>0</v>
      </c>
      <c r="G79" s="218"/>
      <c r="H79" s="224"/>
      <c r="I79" s="217">
        <f t="shared" si="5"/>
        <v>0</v>
      </c>
      <c r="J79" s="218"/>
      <c r="K79" s="227"/>
      <c r="L79" s="233"/>
    </row>
    <row r="80" ht="21" customHeight="1" spans="1:12">
      <c r="A80" s="226" t="s">
        <v>1282</v>
      </c>
      <c r="B80" s="224"/>
      <c r="C80" s="224"/>
      <c r="D80" s="224"/>
      <c r="E80" s="218"/>
      <c r="F80" s="217">
        <f t="shared" si="4"/>
        <v>0</v>
      </c>
      <c r="G80" s="218"/>
      <c r="H80" s="224"/>
      <c r="I80" s="217">
        <f t="shared" si="5"/>
        <v>0</v>
      </c>
      <c r="J80" s="218"/>
      <c r="K80" s="227"/>
      <c r="L80" s="233"/>
    </row>
    <row r="81" ht="21" customHeight="1" spans="1:12">
      <c r="A81" s="226" t="s">
        <v>1317</v>
      </c>
      <c r="B81" s="224"/>
      <c r="C81" s="224"/>
      <c r="D81" s="224"/>
      <c r="E81" s="218"/>
      <c r="F81" s="217">
        <f t="shared" si="4"/>
        <v>0</v>
      </c>
      <c r="G81" s="218"/>
      <c r="H81" s="224"/>
      <c r="I81" s="217">
        <f t="shared" si="5"/>
        <v>0</v>
      </c>
      <c r="J81" s="218"/>
      <c r="K81" s="227"/>
      <c r="L81" s="233"/>
    </row>
    <row r="82" ht="21" customHeight="1" spans="1:12">
      <c r="A82" s="236" t="s">
        <v>1318</v>
      </c>
      <c r="B82" s="224"/>
      <c r="C82" s="224"/>
      <c r="D82" s="224"/>
      <c r="E82" s="218"/>
      <c r="F82" s="217">
        <f t="shared" si="4"/>
        <v>0</v>
      </c>
      <c r="G82" s="218"/>
      <c r="H82" s="224"/>
      <c r="I82" s="217">
        <f t="shared" si="5"/>
        <v>0</v>
      </c>
      <c r="J82" s="218"/>
      <c r="K82" s="227"/>
      <c r="L82" s="233"/>
    </row>
    <row r="83" ht="21" customHeight="1" spans="1:12">
      <c r="A83" s="226" t="s">
        <v>1281</v>
      </c>
      <c r="B83" s="224"/>
      <c r="C83" s="224"/>
      <c r="D83" s="224"/>
      <c r="E83" s="218"/>
      <c r="F83" s="217">
        <f t="shared" si="4"/>
        <v>0</v>
      </c>
      <c r="G83" s="218"/>
      <c r="H83" s="224"/>
      <c r="I83" s="217">
        <f t="shared" si="5"/>
        <v>0</v>
      </c>
      <c r="J83" s="218"/>
      <c r="K83" s="227"/>
      <c r="L83" s="233"/>
    </row>
    <row r="84" ht="21" customHeight="1" spans="1:12">
      <c r="A84" s="226" t="s">
        <v>1282</v>
      </c>
      <c r="B84" s="224"/>
      <c r="C84" s="224"/>
      <c r="D84" s="224"/>
      <c r="E84" s="218"/>
      <c r="F84" s="217">
        <f t="shared" si="4"/>
        <v>0</v>
      </c>
      <c r="G84" s="218"/>
      <c r="H84" s="224"/>
      <c r="I84" s="217">
        <f t="shared" si="5"/>
        <v>0</v>
      </c>
      <c r="J84" s="218"/>
      <c r="K84" s="227"/>
      <c r="L84" s="233"/>
    </row>
    <row r="85" ht="21" customHeight="1" spans="1:12">
      <c r="A85" s="226" t="s">
        <v>1319</v>
      </c>
      <c r="B85" s="224"/>
      <c r="C85" s="224"/>
      <c r="D85" s="224"/>
      <c r="E85" s="218"/>
      <c r="F85" s="217">
        <f t="shared" si="4"/>
        <v>0</v>
      </c>
      <c r="G85" s="218"/>
      <c r="H85" s="224"/>
      <c r="I85" s="217">
        <f t="shared" si="5"/>
        <v>0</v>
      </c>
      <c r="J85" s="218"/>
      <c r="K85" s="227"/>
      <c r="L85" s="233"/>
    </row>
    <row r="86" ht="21" customHeight="1" spans="1:12">
      <c r="A86" s="236" t="s">
        <v>1320</v>
      </c>
      <c r="B86" s="224">
        <f>SUM(B87:B94)</f>
        <v>22846.059695</v>
      </c>
      <c r="C86" s="224">
        <f>SUM(C87:C94)</f>
        <v>0</v>
      </c>
      <c r="D86" s="224">
        <f>SUM(D87:D94)</f>
        <v>100227</v>
      </c>
      <c r="E86" s="218"/>
      <c r="F86" s="217">
        <f t="shared" si="4"/>
        <v>77380.940305</v>
      </c>
      <c r="G86" s="218">
        <f>F86/B86*100</f>
        <v>338.705848352201</v>
      </c>
      <c r="H86" s="224">
        <f>SUM(H87:H94)</f>
        <v>0</v>
      </c>
      <c r="I86" s="217">
        <f t="shared" si="5"/>
        <v>0</v>
      </c>
      <c r="J86" s="218"/>
      <c r="K86" s="227"/>
      <c r="L86" s="233"/>
    </row>
    <row r="87" ht="21" customHeight="1" spans="1:12">
      <c r="A87" s="226" t="s">
        <v>1281</v>
      </c>
      <c r="B87" s="224">
        <v>1120</v>
      </c>
      <c r="C87" s="224"/>
      <c r="D87" s="224"/>
      <c r="E87" s="218"/>
      <c r="F87" s="217">
        <f t="shared" si="4"/>
        <v>-1120</v>
      </c>
      <c r="G87" s="218">
        <f>F87/B87*100</f>
        <v>-100</v>
      </c>
      <c r="H87" s="224"/>
      <c r="I87" s="217">
        <f t="shared" si="5"/>
        <v>0</v>
      </c>
      <c r="J87" s="218"/>
      <c r="K87" s="227"/>
      <c r="L87" s="233"/>
    </row>
    <row r="88" ht="21" customHeight="1" spans="1:12">
      <c r="A88" s="226" t="s">
        <v>1282</v>
      </c>
      <c r="B88" s="224"/>
      <c r="C88" s="224"/>
      <c r="D88" s="224">
        <v>1335</v>
      </c>
      <c r="E88" s="218"/>
      <c r="F88" s="217">
        <f t="shared" si="4"/>
        <v>1335</v>
      </c>
      <c r="G88" s="218"/>
      <c r="H88" s="224"/>
      <c r="I88" s="217">
        <f t="shared" si="5"/>
        <v>0</v>
      </c>
      <c r="J88" s="218"/>
      <c r="K88" s="227"/>
      <c r="L88" s="233"/>
    </row>
    <row r="89" ht="21" customHeight="1" spans="1:12">
      <c r="A89" s="226" t="s">
        <v>1283</v>
      </c>
      <c r="B89" s="224">
        <v>5479</v>
      </c>
      <c r="C89" s="224"/>
      <c r="D89" s="224">
        <v>49464</v>
      </c>
      <c r="E89" s="218"/>
      <c r="F89" s="217">
        <f t="shared" si="4"/>
        <v>43985</v>
      </c>
      <c r="G89" s="218">
        <f>F89/B89*100</f>
        <v>802.792480379631</v>
      </c>
      <c r="H89" s="224"/>
      <c r="I89" s="217">
        <f t="shared" si="5"/>
        <v>0</v>
      </c>
      <c r="J89" s="218"/>
      <c r="K89" s="227"/>
      <c r="L89" s="233"/>
    </row>
    <row r="90" ht="21" customHeight="1" spans="1:12">
      <c r="A90" s="226" t="s">
        <v>1284</v>
      </c>
      <c r="B90" s="224"/>
      <c r="C90" s="224"/>
      <c r="D90" s="224">
        <v>6883</v>
      </c>
      <c r="E90" s="218"/>
      <c r="F90" s="217">
        <f t="shared" si="4"/>
        <v>6883</v>
      </c>
      <c r="G90" s="218"/>
      <c r="H90" s="224"/>
      <c r="I90" s="217">
        <f t="shared" si="5"/>
        <v>0</v>
      </c>
      <c r="J90" s="218"/>
      <c r="K90" s="227"/>
      <c r="L90" s="233"/>
    </row>
    <row r="91" ht="21" customHeight="1" spans="1:12">
      <c r="A91" s="226" t="s">
        <v>1275</v>
      </c>
      <c r="B91" s="224"/>
      <c r="C91" s="224"/>
      <c r="D91" s="224"/>
      <c r="E91" s="218"/>
      <c r="F91" s="217">
        <f t="shared" si="4"/>
        <v>0</v>
      </c>
      <c r="G91" s="218"/>
      <c r="H91" s="224"/>
      <c r="I91" s="217">
        <f t="shared" si="5"/>
        <v>0</v>
      </c>
      <c r="J91" s="218"/>
      <c r="K91" s="227"/>
      <c r="L91" s="233"/>
    </row>
    <row r="92" ht="21" customHeight="1" spans="1:12">
      <c r="A92" s="226" t="s">
        <v>1288</v>
      </c>
      <c r="B92" s="224"/>
      <c r="C92" s="224"/>
      <c r="D92" s="224"/>
      <c r="E92" s="218"/>
      <c r="F92" s="217">
        <f t="shared" si="4"/>
        <v>0</v>
      </c>
      <c r="G92" s="218"/>
      <c r="H92" s="224"/>
      <c r="I92" s="217">
        <f t="shared" si="5"/>
        <v>0</v>
      </c>
      <c r="J92" s="218"/>
      <c r="K92" s="227"/>
      <c r="L92" s="233"/>
    </row>
    <row r="93" ht="21" customHeight="1" spans="1:12">
      <c r="A93" s="226" t="s">
        <v>1276</v>
      </c>
      <c r="B93" s="224"/>
      <c r="C93" s="224"/>
      <c r="D93" s="224"/>
      <c r="E93" s="218"/>
      <c r="F93" s="217">
        <f t="shared" si="4"/>
        <v>0</v>
      </c>
      <c r="G93" s="218"/>
      <c r="H93" s="224"/>
      <c r="I93" s="217">
        <f t="shared" si="5"/>
        <v>0</v>
      </c>
      <c r="J93" s="218"/>
      <c r="K93" s="227"/>
      <c r="L93" s="233"/>
    </row>
    <row r="94" ht="21" customHeight="1" spans="1:12">
      <c r="A94" s="226" t="s">
        <v>1321</v>
      </c>
      <c r="B94" s="224">
        <v>16247.059695</v>
      </c>
      <c r="C94" s="224"/>
      <c r="D94" s="224">
        <v>42545</v>
      </c>
      <c r="E94" s="218"/>
      <c r="F94" s="217">
        <f t="shared" si="4"/>
        <v>26297.940305</v>
      </c>
      <c r="G94" s="218">
        <f>F94/B94*100</f>
        <v>161.862766547803</v>
      </c>
      <c r="H94" s="224"/>
      <c r="I94" s="217">
        <f t="shared" si="5"/>
        <v>0</v>
      </c>
      <c r="J94" s="218"/>
      <c r="K94" s="227"/>
      <c r="L94" s="233"/>
    </row>
    <row r="95" ht="21" customHeight="1" spans="1:12">
      <c r="A95" s="216" t="s">
        <v>1322</v>
      </c>
      <c r="B95" s="180">
        <f>B96+B101++B106+B110</f>
        <v>316.68</v>
      </c>
      <c r="C95" s="180">
        <f>C96+C101++C106+C110</f>
        <v>0</v>
      </c>
      <c r="D95" s="180">
        <f>D96+D101++D106+D110</f>
        <v>469</v>
      </c>
      <c r="E95" s="218"/>
      <c r="F95" s="217">
        <f t="shared" si="4"/>
        <v>152.32</v>
      </c>
      <c r="G95" s="218">
        <f>F95/B95*100</f>
        <v>48.0990274093722</v>
      </c>
      <c r="H95" s="180">
        <f>H96+H101++H106+H110</f>
        <v>0</v>
      </c>
      <c r="I95" s="217">
        <f t="shared" si="5"/>
        <v>0</v>
      </c>
      <c r="J95" s="218"/>
      <c r="K95" s="257">
        <f>K96+K101+K110</f>
        <v>0</v>
      </c>
      <c r="L95" s="233"/>
    </row>
    <row r="96" ht="21" customHeight="1" spans="1:12">
      <c r="A96" s="237" t="s">
        <v>1323</v>
      </c>
      <c r="B96" s="222"/>
      <c r="C96" s="222"/>
      <c r="D96" s="222"/>
      <c r="E96" s="218"/>
      <c r="F96" s="217">
        <f t="shared" si="4"/>
        <v>0</v>
      </c>
      <c r="G96" s="218"/>
      <c r="H96" s="222"/>
      <c r="I96" s="217">
        <f t="shared" si="5"/>
        <v>0</v>
      </c>
      <c r="J96" s="218"/>
      <c r="K96" s="227"/>
      <c r="L96" s="233"/>
    </row>
    <row r="97" ht="21" customHeight="1" spans="1:12">
      <c r="A97" s="238" t="s">
        <v>1268</v>
      </c>
      <c r="B97" s="222"/>
      <c r="C97" s="222"/>
      <c r="D97" s="222"/>
      <c r="E97" s="218"/>
      <c r="F97" s="217">
        <f t="shared" si="4"/>
        <v>0</v>
      </c>
      <c r="G97" s="218"/>
      <c r="H97" s="222"/>
      <c r="I97" s="217">
        <f t="shared" si="5"/>
        <v>0</v>
      </c>
      <c r="J97" s="218"/>
      <c r="K97" s="227"/>
      <c r="L97" s="233"/>
    </row>
    <row r="98" ht="21" customHeight="1" spans="1:12">
      <c r="A98" s="238" t="s">
        <v>1324</v>
      </c>
      <c r="B98" s="222"/>
      <c r="C98" s="222"/>
      <c r="D98" s="222"/>
      <c r="E98" s="218"/>
      <c r="F98" s="217">
        <f t="shared" si="4"/>
        <v>0</v>
      </c>
      <c r="G98" s="218"/>
      <c r="H98" s="222"/>
      <c r="I98" s="217">
        <f t="shared" si="5"/>
        <v>0</v>
      </c>
      <c r="J98" s="218"/>
      <c r="K98" s="227"/>
      <c r="L98" s="233"/>
    </row>
    <row r="99" ht="21" customHeight="1" spans="1:12">
      <c r="A99" s="238" t="s">
        <v>1325</v>
      </c>
      <c r="B99" s="222"/>
      <c r="C99" s="222"/>
      <c r="D99" s="222"/>
      <c r="E99" s="218"/>
      <c r="F99" s="217">
        <f t="shared" si="4"/>
        <v>0</v>
      </c>
      <c r="G99" s="218"/>
      <c r="H99" s="222"/>
      <c r="I99" s="217">
        <f t="shared" si="5"/>
        <v>0</v>
      </c>
      <c r="J99" s="218"/>
      <c r="K99" s="227"/>
      <c r="L99" s="233"/>
    </row>
    <row r="100" ht="21" customHeight="1" spans="1:12">
      <c r="A100" s="238" t="s">
        <v>1326</v>
      </c>
      <c r="B100" s="222"/>
      <c r="C100" s="222"/>
      <c r="D100" s="222"/>
      <c r="E100" s="218"/>
      <c r="F100" s="217">
        <f t="shared" si="4"/>
        <v>0</v>
      </c>
      <c r="G100" s="218"/>
      <c r="H100" s="222"/>
      <c r="I100" s="217">
        <f t="shared" si="5"/>
        <v>0</v>
      </c>
      <c r="J100" s="218"/>
      <c r="K100" s="227"/>
      <c r="L100" s="233"/>
    </row>
    <row r="101" ht="21" customHeight="1" spans="1:12">
      <c r="A101" s="237" t="s">
        <v>1327</v>
      </c>
      <c r="B101" s="222"/>
      <c r="C101" s="222"/>
      <c r="D101" s="222"/>
      <c r="E101" s="218"/>
      <c r="F101" s="217">
        <f t="shared" si="4"/>
        <v>0</v>
      </c>
      <c r="G101" s="218"/>
      <c r="H101" s="222"/>
      <c r="I101" s="217">
        <f t="shared" si="5"/>
        <v>0</v>
      </c>
      <c r="J101" s="218"/>
      <c r="K101" s="227"/>
      <c r="L101" s="233"/>
    </row>
    <row r="102" ht="21" customHeight="1" spans="1:12">
      <c r="A102" s="239" t="s">
        <v>1328</v>
      </c>
      <c r="B102" s="222"/>
      <c r="C102" s="222"/>
      <c r="D102" s="222"/>
      <c r="E102" s="218"/>
      <c r="F102" s="217">
        <f t="shared" si="4"/>
        <v>0</v>
      </c>
      <c r="G102" s="218"/>
      <c r="H102" s="222"/>
      <c r="I102" s="217">
        <f t="shared" si="5"/>
        <v>0</v>
      </c>
      <c r="J102" s="218"/>
      <c r="K102" s="227"/>
      <c r="L102" s="233"/>
    </row>
    <row r="103" ht="21" customHeight="1" spans="1:12">
      <c r="A103" s="239" t="s">
        <v>1329</v>
      </c>
      <c r="B103" s="222"/>
      <c r="C103" s="222"/>
      <c r="D103" s="222"/>
      <c r="E103" s="218"/>
      <c r="F103" s="217">
        <f t="shared" ref="F103:F134" si="6">D103-B103</f>
        <v>0</v>
      </c>
      <c r="G103" s="218"/>
      <c r="H103" s="222"/>
      <c r="I103" s="217">
        <f t="shared" ref="I103:I134" si="7">H103-C103</f>
        <v>0</v>
      </c>
      <c r="J103" s="218"/>
      <c r="K103" s="227"/>
      <c r="L103" s="233"/>
    </row>
    <row r="104" ht="21" customHeight="1" spans="1:12">
      <c r="A104" s="239" t="s">
        <v>1330</v>
      </c>
      <c r="B104" s="222"/>
      <c r="C104" s="222"/>
      <c r="D104" s="222"/>
      <c r="E104" s="218"/>
      <c r="F104" s="217">
        <f t="shared" si="6"/>
        <v>0</v>
      </c>
      <c r="G104" s="218"/>
      <c r="H104" s="222"/>
      <c r="I104" s="217">
        <f t="shared" si="7"/>
        <v>0</v>
      </c>
      <c r="J104" s="218"/>
      <c r="K104" s="227"/>
      <c r="L104" s="233"/>
    </row>
    <row r="105" ht="21" customHeight="1" spans="1:12">
      <c r="A105" s="239" t="s">
        <v>1331</v>
      </c>
      <c r="B105" s="222"/>
      <c r="C105" s="222"/>
      <c r="D105" s="222"/>
      <c r="E105" s="218"/>
      <c r="F105" s="217">
        <f t="shared" si="6"/>
        <v>0</v>
      </c>
      <c r="G105" s="218"/>
      <c r="H105" s="222"/>
      <c r="I105" s="217">
        <f t="shared" si="7"/>
        <v>0</v>
      </c>
      <c r="J105" s="218"/>
      <c r="K105" s="227"/>
      <c r="L105" s="233"/>
    </row>
    <row r="106" ht="21" customHeight="1" spans="1:12">
      <c r="A106" s="237" t="s">
        <v>1266</v>
      </c>
      <c r="B106" s="222">
        <f>SUM(B107:B109)</f>
        <v>316.68</v>
      </c>
      <c r="C106" s="222">
        <f>SUM(C107:C109)</f>
        <v>0</v>
      </c>
      <c r="D106" s="222">
        <f>SUM(D107:D109)</f>
        <v>469</v>
      </c>
      <c r="E106" s="218"/>
      <c r="F106" s="217">
        <f t="shared" si="6"/>
        <v>152.32</v>
      </c>
      <c r="G106" s="218">
        <f>F106/B106*100</f>
        <v>48.0990274093722</v>
      </c>
      <c r="H106" s="222">
        <f>SUM(H107:H109)</f>
        <v>0</v>
      </c>
      <c r="I106" s="217">
        <f t="shared" si="7"/>
        <v>0</v>
      </c>
      <c r="J106" s="218"/>
      <c r="K106" s="227"/>
      <c r="L106" s="233"/>
    </row>
    <row r="107" ht="21" customHeight="1" spans="1:12">
      <c r="A107" s="239" t="s">
        <v>1267</v>
      </c>
      <c r="B107" s="222">
        <v>286.68</v>
      </c>
      <c r="C107" s="222"/>
      <c r="D107" s="222">
        <v>469</v>
      </c>
      <c r="E107" s="218"/>
      <c r="F107" s="217">
        <f t="shared" si="6"/>
        <v>182.32</v>
      </c>
      <c r="G107" s="218">
        <f>F107/B107*100</f>
        <v>63.5970419980466</v>
      </c>
      <c r="H107" s="222"/>
      <c r="I107" s="217">
        <f t="shared" si="7"/>
        <v>0</v>
      </c>
      <c r="J107" s="218"/>
      <c r="K107" s="227"/>
      <c r="L107" s="233"/>
    </row>
    <row r="108" ht="21" customHeight="1" spans="1:12">
      <c r="A108" s="239" t="s">
        <v>1268</v>
      </c>
      <c r="B108" s="222">
        <v>30</v>
      </c>
      <c r="C108" s="222"/>
      <c r="D108" s="222"/>
      <c r="E108" s="218"/>
      <c r="F108" s="217">
        <f t="shared" si="6"/>
        <v>-30</v>
      </c>
      <c r="G108" s="218">
        <f>F108/B108*100</f>
        <v>-100</v>
      </c>
      <c r="H108" s="222"/>
      <c r="I108" s="217">
        <f t="shared" si="7"/>
        <v>0</v>
      </c>
      <c r="J108" s="218"/>
      <c r="K108" s="227"/>
      <c r="L108" s="233"/>
    </row>
    <row r="109" ht="21" customHeight="1" spans="1:12">
      <c r="A109" s="239" t="s">
        <v>1269</v>
      </c>
      <c r="B109" s="222"/>
      <c r="C109" s="222"/>
      <c r="D109" s="222"/>
      <c r="E109" s="218"/>
      <c r="F109" s="217">
        <f t="shared" si="6"/>
        <v>0</v>
      </c>
      <c r="G109" s="218"/>
      <c r="H109" s="222"/>
      <c r="I109" s="217">
        <f t="shared" si="7"/>
        <v>0</v>
      </c>
      <c r="J109" s="218"/>
      <c r="K109" s="227"/>
      <c r="L109" s="233"/>
    </row>
    <row r="110" ht="21" customHeight="1" spans="1:12">
      <c r="A110" s="237" t="s">
        <v>1332</v>
      </c>
      <c r="B110" s="222"/>
      <c r="C110" s="222"/>
      <c r="D110" s="222"/>
      <c r="E110" s="218"/>
      <c r="F110" s="217">
        <f t="shared" si="6"/>
        <v>0</v>
      </c>
      <c r="G110" s="218"/>
      <c r="H110" s="222"/>
      <c r="I110" s="217">
        <f t="shared" si="7"/>
        <v>0</v>
      </c>
      <c r="J110" s="218"/>
      <c r="K110" s="227"/>
      <c r="L110" s="233"/>
    </row>
    <row r="111" ht="21" customHeight="1" spans="1:12">
      <c r="A111" s="239" t="s">
        <v>1333</v>
      </c>
      <c r="B111" s="222"/>
      <c r="C111" s="222"/>
      <c r="D111" s="222"/>
      <c r="E111" s="218"/>
      <c r="F111" s="217">
        <f t="shared" si="6"/>
        <v>0</v>
      </c>
      <c r="G111" s="218"/>
      <c r="H111" s="222"/>
      <c r="I111" s="217">
        <f t="shared" si="7"/>
        <v>0</v>
      </c>
      <c r="J111" s="218"/>
      <c r="K111" s="227"/>
      <c r="L111" s="233"/>
    </row>
    <row r="112" ht="21" customHeight="1" spans="1:12">
      <c r="A112" s="239" t="s">
        <v>1334</v>
      </c>
      <c r="B112" s="222"/>
      <c r="C112" s="222"/>
      <c r="D112" s="222"/>
      <c r="E112" s="218"/>
      <c r="F112" s="217">
        <f t="shared" si="6"/>
        <v>0</v>
      </c>
      <c r="G112" s="218"/>
      <c r="H112" s="222"/>
      <c r="I112" s="217">
        <f t="shared" si="7"/>
        <v>0</v>
      </c>
      <c r="J112" s="218"/>
      <c r="K112" s="227"/>
      <c r="L112" s="233"/>
    </row>
    <row r="113" ht="21" customHeight="1" spans="1:12">
      <c r="A113" s="239" t="s">
        <v>1335</v>
      </c>
      <c r="B113" s="222"/>
      <c r="C113" s="222"/>
      <c r="D113" s="222"/>
      <c r="E113" s="218"/>
      <c r="F113" s="217">
        <f t="shared" si="6"/>
        <v>0</v>
      </c>
      <c r="G113" s="218"/>
      <c r="H113" s="222"/>
      <c r="I113" s="217">
        <f t="shared" si="7"/>
        <v>0</v>
      </c>
      <c r="J113" s="218"/>
      <c r="K113" s="227"/>
      <c r="L113" s="233"/>
    </row>
    <row r="114" ht="21" customHeight="1" spans="1:12">
      <c r="A114" s="216" t="s">
        <v>1336</v>
      </c>
      <c r="B114" s="180"/>
      <c r="C114" s="180"/>
      <c r="D114" s="180"/>
      <c r="E114" s="218"/>
      <c r="F114" s="217">
        <f t="shared" si="6"/>
        <v>0</v>
      </c>
      <c r="G114" s="218"/>
      <c r="H114" s="180"/>
      <c r="I114" s="217">
        <f t="shared" si="7"/>
        <v>0</v>
      </c>
      <c r="J114" s="218"/>
      <c r="K114" s="227"/>
      <c r="L114" s="233"/>
    </row>
    <row r="115" ht="21" customHeight="1" spans="1:12">
      <c r="A115" s="240" t="s">
        <v>1337</v>
      </c>
      <c r="B115" s="189"/>
      <c r="C115" s="189"/>
      <c r="D115" s="189"/>
      <c r="E115" s="218"/>
      <c r="F115" s="217">
        <f t="shared" si="6"/>
        <v>0</v>
      </c>
      <c r="G115" s="218"/>
      <c r="H115" s="189"/>
      <c r="I115" s="217">
        <f t="shared" si="7"/>
        <v>0</v>
      </c>
      <c r="J115" s="218"/>
      <c r="K115" s="227"/>
      <c r="L115" s="233"/>
    </row>
    <row r="116" ht="21" customHeight="1" spans="1:12">
      <c r="A116" s="226" t="s">
        <v>1338</v>
      </c>
      <c r="B116" s="219"/>
      <c r="C116" s="219"/>
      <c r="D116" s="219"/>
      <c r="E116" s="218"/>
      <c r="F116" s="217">
        <f t="shared" si="6"/>
        <v>0</v>
      </c>
      <c r="G116" s="218"/>
      <c r="H116" s="219"/>
      <c r="I116" s="217">
        <f t="shared" si="7"/>
        <v>0</v>
      </c>
      <c r="J116" s="218"/>
      <c r="K116" s="227"/>
      <c r="L116" s="233"/>
    </row>
    <row r="117" ht="21" customHeight="1" spans="1:12">
      <c r="A117" s="226" t="s">
        <v>1339</v>
      </c>
      <c r="B117" s="219"/>
      <c r="C117" s="219"/>
      <c r="D117" s="219"/>
      <c r="E117" s="218"/>
      <c r="F117" s="217">
        <f t="shared" si="6"/>
        <v>0</v>
      </c>
      <c r="G117" s="218"/>
      <c r="H117" s="219"/>
      <c r="I117" s="217">
        <f t="shared" si="7"/>
        <v>0</v>
      </c>
      <c r="J117" s="218"/>
      <c r="K117" s="227"/>
      <c r="L117" s="233"/>
    </row>
    <row r="118" ht="21" customHeight="1" spans="1:12">
      <c r="A118" s="226" t="s">
        <v>1340</v>
      </c>
      <c r="B118" s="219"/>
      <c r="C118" s="219"/>
      <c r="D118" s="219"/>
      <c r="E118" s="218"/>
      <c r="F118" s="217">
        <f t="shared" si="6"/>
        <v>0</v>
      </c>
      <c r="G118" s="218"/>
      <c r="H118" s="219"/>
      <c r="I118" s="217">
        <f t="shared" si="7"/>
        <v>0</v>
      </c>
      <c r="J118" s="218"/>
      <c r="K118" s="227"/>
      <c r="L118" s="233"/>
    </row>
    <row r="119" ht="21" customHeight="1" spans="1:12">
      <c r="A119" s="226" t="s">
        <v>1341</v>
      </c>
      <c r="B119" s="219"/>
      <c r="C119" s="219"/>
      <c r="D119" s="219"/>
      <c r="E119" s="218"/>
      <c r="F119" s="217">
        <f t="shared" si="6"/>
        <v>0</v>
      </c>
      <c r="G119" s="218"/>
      <c r="H119" s="219"/>
      <c r="I119" s="217">
        <f t="shared" si="7"/>
        <v>0</v>
      </c>
      <c r="J119" s="218"/>
      <c r="K119" s="227"/>
      <c r="L119" s="233"/>
    </row>
    <row r="120" ht="21" customHeight="1" spans="1:12">
      <c r="A120" s="241" t="s">
        <v>1342</v>
      </c>
      <c r="B120" s="219"/>
      <c r="C120" s="219"/>
      <c r="D120" s="219"/>
      <c r="E120" s="218"/>
      <c r="F120" s="217">
        <f t="shared" si="6"/>
        <v>0</v>
      </c>
      <c r="G120" s="218"/>
      <c r="H120" s="219"/>
      <c r="I120" s="217">
        <f t="shared" si="7"/>
        <v>0</v>
      </c>
      <c r="J120" s="218"/>
      <c r="K120" s="227"/>
      <c r="L120" s="233"/>
    </row>
    <row r="121" ht="21" customHeight="1" spans="1:12">
      <c r="A121" s="216" t="s">
        <v>1343</v>
      </c>
      <c r="B121" s="180">
        <f>B122+B129+B135</f>
        <v>50</v>
      </c>
      <c r="C121" s="180">
        <f>C122+C129+C135</f>
        <v>0</v>
      </c>
      <c r="D121" s="180">
        <f>D122+D129+D135</f>
        <v>1289</v>
      </c>
      <c r="E121" s="218"/>
      <c r="F121" s="217">
        <f t="shared" si="6"/>
        <v>1239</v>
      </c>
      <c r="G121" s="218">
        <f>F121/B121*100</f>
        <v>2478</v>
      </c>
      <c r="H121" s="180">
        <f>H122+H129+H135</f>
        <v>0</v>
      </c>
      <c r="I121" s="217">
        <f t="shared" si="7"/>
        <v>0</v>
      </c>
      <c r="J121" s="218"/>
      <c r="K121" s="257">
        <f>K122+K129+K135</f>
        <v>0</v>
      </c>
      <c r="L121" s="233"/>
    </row>
    <row r="122" ht="21" customHeight="1" spans="1:12">
      <c r="A122" s="240" t="s">
        <v>1344</v>
      </c>
      <c r="B122" s="189"/>
      <c r="C122" s="189"/>
      <c r="D122" s="189"/>
      <c r="E122" s="218"/>
      <c r="F122" s="217">
        <f t="shared" si="6"/>
        <v>0</v>
      </c>
      <c r="G122" s="218"/>
      <c r="H122" s="189"/>
      <c r="I122" s="217">
        <f t="shared" si="7"/>
        <v>0</v>
      </c>
      <c r="J122" s="218"/>
      <c r="K122" s="227"/>
      <c r="L122" s="233"/>
    </row>
    <row r="123" ht="21" customHeight="1" spans="1:12">
      <c r="A123" s="226" t="s">
        <v>1345</v>
      </c>
      <c r="B123" s="189"/>
      <c r="C123" s="189"/>
      <c r="D123" s="189"/>
      <c r="E123" s="218"/>
      <c r="F123" s="217">
        <f t="shared" si="6"/>
        <v>0</v>
      </c>
      <c r="G123" s="218"/>
      <c r="H123" s="189"/>
      <c r="I123" s="217">
        <f t="shared" si="7"/>
        <v>0</v>
      </c>
      <c r="J123" s="218"/>
      <c r="K123" s="227"/>
      <c r="L123" s="233"/>
    </row>
    <row r="124" ht="21" customHeight="1" spans="1:12">
      <c r="A124" s="226" t="s">
        <v>1346</v>
      </c>
      <c r="B124" s="189"/>
      <c r="C124" s="189"/>
      <c r="D124" s="189"/>
      <c r="E124" s="218"/>
      <c r="F124" s="217">
        <f t="shared" si="6"/>
        <v>0</v>
      </c>
      <c r="G124" s="218"/>
      <c r="H124" s="189"/>
      <c r="I124" s="217">
        <f t="shared" si="7"/>
        <v>0</v>
      </c>
      <c r="J124" s="218"/>
      <c r="K124" s="227"/>
      <c r="L124" s="233"/>
    </row>
    <row r="125" ht="21" customHeight="1" spans="1:12">
      <c r="A125" s="226" t="s">
        <v>1347</v>
      </c>
      <c r="B125" s="189"/>
      <c r="C125" s="189"/>
      <c r="D125" s="189"/>
      <c r="E125" s="218"/>
      <c r="F125" s="217">
        <f t="shared" si="6"/>
        <v>0</v>
      </c>
      <c r="G125" s="218"/>
      <c r="H125" s="189"/>
      <c r="I125" s="217">
        <f t="shared" si="7"/>
        <v>0</v>
      </c>
      <c r="J125" s="218"/>
      <c r="K125" s="227"/>
      <c r="L125" s="233"/>
    </row>
    <row r="126" ht="21" customHeight="1" spans="1:12">
      <c r="A126" s="226" t="s">
        <v>1348</v>
      </c>
      <c r="B126" s="189"/>
      <c r="C126" s="189"/>
      <c r="D126" s="189"/>
      <c r="E126" s="218"/>
      <c r="F126" s="217">
        <f t="shared" si="6"/>
        <v>0</v>
      </c>
      <c r="G126" s="218"/>
      <c r="H126" s="189"/>
      <c r="I126" s="217">
        <f t="shared" si="7"/>
        <v>0</v>
      </c>
      <c r="J126" s="218"/>
      <c r="K126" s="227"/>
      <c r="L126" s="233"/>
    </row>
    <row r="127" ht="21" customHeight="1" spans="1:12">
      <c r="A127" s="226" t="s">
        <v>1349</v>
      </c>
      <c r="B127" s="189"/>
      <c r="C127" s="189"/>
      <c r="D127" s="189"/>
      <c r="E127" s="218"/>
      <c r="F127" s="217">
        <f t="shared" si="6"/>
        <v>0</v>
      </c>
      <c r="G127" s="218"/>
      <c r="H127" s="189"/>
      <c r="I127" s="217">
        <f t="shared" si="7"/>
        <v>0</v>
      </c>
      <c r="J127" s="218"/>
      <c r="K127" s="227"/>
      <c r="L127" s="233"/>
    </row>
    <row r="128" ht="21" customHeight="1" spans="1:12">
      <c r="A128" s="226" t="s">
        <v>1350</v>
      </c>
      <c r="B128" s="189"/>
      <c r="C128" s="189"/>
      <c r="D128" s="189"/>
      <c r="E128" s="218"/>
      <c r="F128" s="217">
        <f t="shared" si="6"/>
        <v>0</v>
      </c>
      <c r="G128" s="218"/>
      <c r="H128" s="189"/>
      <c r="I128" s="217">
        <f t="shared" si="7"/>
        <v>0</v>
      </c>
      <c r="J128" s="218"/>
      <c r="K128" s="227"/>
      <c r="L128" s="233"/>
    </row>
    <row r="129" ht="21" customHeight="1" spans="1:12">
      <c r="A129" s="240" t="s">
        <v>1351</v>
      </c>
      <c r="B129" s="189"/>
      <c r="C129" s="189"/>
      <c r="D129" s="189"/>
      <c r="E129" s="218"/>
      <c r="F129" s="217">
        <f t="shared" si="6"/>
        <v>0</v>
      </c>
      <c r="G129" s="218"/>
      <c r="H129" s="189"/>
      <c r="I129" s="217">
        <f t="shared" si="7"/>
        <v>0</v>
      </c>
      <c r="J129" s="218"/>
      <c r="K129" s="227"/>
      <c r="L129" s="233"/>
    </row>
    <row r="130" ht="21" customHeight="1" spans="1:12">
      <c r="A130" s="226" t="s">
        <v>1352</v>
      </c>
      <c r="B130" s="189"/>
      <c r="C130" s="189"/>
      <c r="D130" s="189"/>
      <c r="E130" s="218"/>
      <c r="F130" s="217">
        <f t="shared" si="6"/>
        <v>0</v>
      </c>
      <c r="G130" s="218"/>
      <c r="H130" s="189"/>
      <c r="I130" s="217">
        <f t="shared" si="7"/>
        <v>0</v>
      </c>
      <c r="J130" s="218"/>
      <c r="K130" s="227"/>
      <c r="L130" s="233"/>
    </row>
    <row r="131" ht="21" customHeight="1" spans="1:12">
      <c r="A131" s="226" t="s">
        <v>1353</v>
      </c>
      <c r="B131" s="189"/>
      <c r="C131" s="189"/>
      <c r="D131" s="189"/>
      <c r="E131" s="218"/>
      <c r="F131" s="217">
        <f t="shared" si="6"/>
        <v>0</v>
      </c>
      <c r="G131" s="218"/>
      <c r="H131" s="189"/>
      <c r="I131" s="217">
        <f t="shared" si="7"/>
        <v>0</v>
      </c>
      <c r="J131" s="218"/>
      <c r="K131" s="227"/>
      <c r="L131" s="233"/>
    </row>
    <row r="132" ht="21" customHeight="1" spans="1:12">
      <c r="A132" s="226" t="s">
        <v>1354</v>
      </c>
      <c r="B132" s="189"/>
      <c r="C132" s="189"/>
      <c r="D132" s="189"/>
      <c r="E132" s="218"/>
      <c r="F132" s="217">
        <f t="shared" si="6"/>
        <v>0</v>
      </c>
      <c r="G132" s="218"/>
      <c r="H132" s="189"/>
      <c r="I132" s="217">
        <f t="shared" si="7"/>
        <v>0</v>
      </c>
      <c r="J132" s="218"/>
      <c r="K132" s="227"/>
      <c r="L132" s="233"/>
    </row>
    <row r="133" ht="21" customHeight="1" spans="1:12">
      <c r="A133" s="226" t="s">
        <v>1355</v>
      </c>
      <c r="B133" s="189"/>
      <c r="C133" s="189"/>
      <c r="D133" s="189"/>
      <c r="E133" s="218"/>
      <c r="F133" s="217">
        <f t="shared" si="6"/>
        <v>0</v>
      </c>
      <c r="G133" s="218"/>
      <c r="H133" s="189"/>
      <c r="I133" s="217">
        <f t="shared" si="7"/>
        <v>0</v>
      </c>
      <c r="J133" s="218"/>
      <c r="K133" s="227"/>
      <c r="L133" s="233"/>
    </row>
    <row r="134" ht="21" customHeight="1" spans="1:12">
      <c r="A134" s="226" t="s">
        <v>1356</v>
      </c>
      <c r="B134" s="189"/>
      <c r="C134" s="189"/>
      <c r="D134" s="189"/>
      <c r="E134" s="218"/>
      <c r="F134" s="217">
        <f t="shared" si="6"/>
        <v>0</v>
      </c>
      <c r="G134" s="218"/>
      <c r="H134" s="189"/>
      <c r="I134" s="217">
        <f t="shared" si="7"/>
        <v>0</v>
      </c>
      <c r="J134" s="218"/>
      <c r="K134" s="227"/>
      <c r="L134" s="233"/>
    </row>
    <row r="135" ht="21" customHeight="1" spans="1:12">
      <c r="A135" s="240" t="s">
        <v>1357</v>
      </c>
      <c r="B135" s="189">
        <f>SUM(B136:B139)</f>
        <v>50</v>
      </c>
      <c r="C135" s="189">
        <f>SUM(C136:C139)</f>
        <v>0</v>
      </c>
      <c r="D135" s="189">
        <f>SUM(D136:D139)</f>
        <v>1289</v>
      </c>
      <c r="E135" s="218"/>
      <c r="F135" s="217">
        <f t="shared" ref="F135:F173" si="8">D135-B135</f>
        <v>1239</v>
      </c>
      <c r="G135" s="218">
        <f>F135/B135*100</f>
        <v>2478</v>
      </c>
      <c r="H135" s="189">
        <f>SUM(H136:H139)</f>
        <v>0</v>
      </c>
      <c r="I135" s="217">
        <f t="shared" ref="I135:I173" si="9">H135-C135</f>
        <v>0</v>
      </c>
      <c r="J135" s="218"/>
      <c r="K135" s="258">
        <f>SUM(K136:K139)</f>
        <v>0</v>
      </c>
      <c r="L135" s="233"/>
    </row>
    <row r="136" ht="21" customHeight="1" spans="1:12">
      <c r="A136" s="226" t="s">
        <v>885</v>
      </c>
      <c r="B136" s="189"/>
      <c r="C136" s="189"/>
      <c r="D136" s="189">
        <v>1289</v>
      </c>
      <c r="E136" s="218"/>
      <c r="F136" s="217">
        <f t="shared" si="8"/>
        <v>1289</v>
      </c>
      <c r="G136" s="218"/>
      <c r="H136" s="189"/>
      <c r="I136" s="217">
        <f t="shared" si="9"/>
        <v>0</v>
      </c>
      <c r="J136" s="218"/>
      <c r="K136" s="227"/>
      <c r="L136" s="233"/>
    </row>
    <row r="137" ht="21" customHeight="1" spans="1:12">
      <c r="A137" s="226" t="s">
        <v>892</v>
      </c>
      <c r="B137" s="189">
        <v>50</v>
      </c>
      <c r="C137" s="189"/>
      <c r="D137" s="189"/>
      <c r="E137" s="218"/>
      <c r="F137" s="217">
        <f t="shared" si="8"/>
        <v>-50</v>
      </c>
      <c r="G137" s="218">
        <f>F137/B137*100</f>
        <v>-100</v>
      </c>
      <c r="H137" s="189"/>
      <c r="I137" s="217">
        <f t="shared" si="9"/>
        <v>0</v>
      </c>
      <c r="J137" s="218"/>
      <c r="K137" s="227"/>
      <c r="L137" s="233"/>
    </row>
    <row r="138" ht="21" customHeight="1" spans="1:12">
      <c r="A138" s="226" t="s">
        <v>1358</v>
      </c>
      <c r="B138" s="189"/>
      <c r="C138" s="189"/>
      <c r="D138" s="189"/>
      <c r="E138" s="218"/>
      <c r="F138" s="217">
        <f t="shared" si="8"/>
        <v>0</v>
      </c>
      <c r="G138" s="218"/>
      <c r="H138" s="189"/>
      <c r="I138" s="217">
        <f t="shared" si="9"/>
        <v>0</v>
      </c>
      <c r="J138" s="218"/>
      <c r="K138" s="227"/>
      <c r="L138" s="233"/>
    </row>
    <row r="139" ht="21" customHeight="1" spans="1:12">
      <c r="A139" s="226" t="s">
        <v>921</v>
      </c>
      <c r="B139" s="189"/>
      <c r="C139" s="189"/>
      <c r="D139" s="189"/>
      <c r="E139" s="218"/>
      <c r="F139" s="217">
        <f t="shared" si="8"/>
        <v>0</v>
      </c>
      <c r="G139" s="218"/>
      <c r="H139" s="189"/>
      <c r="I139" s="217">
        <f t="shared" si="9"/>
        <v>0</v>
      </c>
      <c r="J139" s="218"/>
      <c r="K139" s="227"/>
      <c r="L139" s="233"/>
    </row>
    <row r="140" ht="21" customHeight="1" spans="1:12">
      <c r="A140" s="242" t="s">
        <v>1359</v>
      </c>
      <c r="B140" s="217"/>
      <c r="C140" s="217"/>
      <c r="D140" s="217"/>
      <c r="E140" s="218"/>
      <c r="F140" s="217">
        <f t="shared" si="8"/>
        <v>0</v>
      </c>
      <c r="G140" s="218"/>
      <c r="H140" s="217"/>
      <c r="I140" s="217">
        <f t="shared" si="9"/>
        <v>0</v>
      </c>
      <c r="J140" s="218"/>
      <c r="K140" s="227"/>
      <c r="L140" s="233"/>
    </row>
    <row r="141" ht="21" customHeight="1" spans="1:12">
      <c r="A141" s="240" t="s">
        <v>1360</v>
      </c>
      <c r="B141" s="180"/>
      <c r="C141" s="180"/>
      <c r="D141" s="180"/>
      <c r="E141" s="218"/>
      <c r="F141" s="217">
        <f t="shared" si="8"/>
        <v>0</v>
      </c>
      <c r="G141" s="218"/>
      <c r="H141" s="180"/>
      <c r="I141" s="217">
        <f t="shared" si="9"/>
        <v>0</v>
      </c>
      <c r="J141" s="218"/>
      <c r="K141" s="227"/>
      <c r="L141" s="233"/>
    </row>
    <row r="142" ht="21" customHeight="1" spans="1:12">
      <c r="A142" s="226" t="s">
        <v>1260</v>
      </c>
      <c r="B142" s="222"/>
      <c r="C142" s="222"/>
      <c r="D142" s="222"/>
      <c r="E142" s="218"/>
      <c r="F142" s="217">
        <f t="shared" si="8"/>
        <v>0</v>
      </c>
      <c r="G142" s="218"/>
      <c r="H142" s="222"/>
      <c r="I142" s="217">
        <f t="shared" si="9"/>
        <v>0</v>
      </c>
      <c r="J142" s="218"/>
      <c r="K142" s="227"/>
      <c r="L142" s="233"/>
    </row>
    <row r="143" ht="21" customHeight="1" spans="1:12">
      <c r="A143" s="226" t="s">
        <v>1261</v>
      </c>
      <c r="B143" s="222"/>
      <c r="C143" s="222"/>
      <c r="D143" s="222"/>
      <c r="E143" s="218"/>
      <c r="F143" s="217">
        <f t="shared" si="8"/>
        <v>0</v>
      </c>
      <c r="G143" s="218"/>
      <c r="H143" s="222"/>
      <c r="I143" s="217">
        <f t="shared" si="9"/>
        <v>0</v>
      </c>
      <c r="J143" s="218"/>
      <c r="K143" s="227"/>
      <c r="L143" s="233"/>
    </row>
    <row r="144" ht="21" customHeight="1" spans="1:12">
      <c r="A144" s="226" t="s">
        <v>1262</v>
      </c>
      <c r="B144" s="222"/>
      <c r="C144" s="222"/>
      <c r="D144" s="222"/>
      <c r="E144" s="218"/>
      <c r="F144" s="217">
        <f t="shared" si="8"/>
        <v>0</v>
      </c>
      <c r="G144" s="218"/>
      <c r="H144" s="222"/>
      <c r="I144" s="217">
        <f t="shared" si="9"/>
        <v>0</v>
      </c>
      <c r="J144" s="218"/>
      <c r="K144" s="227"/>
      <c r="L144" s="233"/>
    </row>
    <row r="145" ht="21" customHeight="1" spans="1:12">
      <c r="A145" s="226" t="s">
        <v>1263</v>
      </c>
      <c r="B145" s="222"/>
      <c r="C145" s="222"/>
      <c r="D145" s="222"/>
      <c r="E145" s="218"/>
      <c r="F145" s="217">
        <f t="shared" si="8"/>
        <v>0</v>
      </c>
      <c r="G145" s="218"/>
      <c r="H145" s="222"/>
      <c r="I145" s="217">
        <f t="shared" si="9"/>
        <v>0</v>
      </c>
      <c r="J145" s="218"/>
      <c r="K145" s="227"/>
      <c r="L145" s="233"/>
    </row>
    <row r="146" ht="21" customHeight="1" spans="1:12">
      <c r="A146" s="226" t="s">
        <v>1264</v>
      </c>
      <c r="B146" s="222"/>
      <c r="C146" s="222"/>
      <c r="D146" s="222"/>
      <c r="E146" s="218"/>
      <c r="F146" s="217">
        <f t="shared" si="8"/>
        <v>0</v>
      </c>
      <c r="G146" s="218"/>
      <c r="H146" s="222"/>
      <c r="I146" s="217">
        <f t="shared" si="9"/>
        <v>0</v>
      </c>
      <c r="J146" s="218"/>
      <c r="K146" s="227"/>
      <c r="L146" s="233"/>
    </row>
    <row r="147" ht="21" customHeight="1" spans="1:12">
      <c r="A147" s="216" t="s">
        <v>1361</v>
      </c>
      <c r="B147" s="180">
        <f>B148+B149</f>
        <v>44499.322176</v>
      </c>
      <c r="C147" s="180">
        <f>C148+C149</f>
        <v>0</v>
      </c>
      <c r="D147" s="180">
        <f>D148+D149</f>
        <v>42554</v>
      </c>
      <c r="E147" s="218"/>
      <c r="F147" s="217">
        <f t="shared" si="8"/>
        <v>-1945.322176</v>
      </c>
      <c r="G147" s="218">
        <f t="shared" ref="G147:G152" si="10">F147/B147*100</f>
        <v>-4.37157709572749</v>
      </c>
      <c r="H147" s="180">
        <f>H148+H149</f>
        <v>0</v>
      </c>
      <c r="I147" s="217">
        <f t="shared" si="9"/>
        <v>0</v>
      </c>
      <c r="J147" s="218"/>
      <c r="K147" s="257">
        <f>K148+K149</f>
        <v>0</v>
      </c>
      <c r="L147" s="233"/>
    </row>
    <row r="148" ht="21" customHeight="1" spans="1:12">
      <c r="A148" s="240" t="s">
        <v>1362</v>
      </c>
      <c r="B148" s="224">
        <v>43734</v>
      </c>
      <c r="C148" s="224"/>
      <c r="D148" s="224">
        <v>41657</v>
      </c>
      <c r="E148" s="218"/>
      <c r="F148" s="217">
        <f t="shared" si="8"/>
        <v>-2077</v>
      </c>
      <c r="G148" s="218">
        <f t="shared" si="10"/>
        <v>-4.74916540906389</v>
      </c>
      <c r="H148" s="224"/>
      <c r="I148" s="217">
        <f t="shared" si="9"/>
        <v>0</v>
      </c>
      <c r="J148" s="218"/>
      <c r="K148" s="227"/>
      <c r="L148" s="233"/>
    </row>
    <row r="149" ht="21" customHeight="1" spans="1:12">
      <c r="A149" s="236" t="s">
        <v>1363</v>
      </c>
      <c r="B149" s="189">
        <f>SUM(B150:B159)</f>
        <v>765.322176</v>
      </c>
      <c r="C149" s="189">
        <f>SUM(C150:C159)</f>
        <v>0</v>
      </c>
      <c r="D149" s="189">
        <f>SUM(D150:D159)</f>
        <v>897</v>
      </c>
      <c r="E149" s="218"/>
      <c r="F149" s="217">
        <f t="shared" si="8"/>
        <v>131.677824</v>
      </c>
      <c r="G149" s="218">
        <f t="shared" si="10"/>
        <v>17.2055414215516</v>
      </c>
      <c r="H149" s="189">
        <f>SUM(H150:H159)</f>
        <v>0</v>
      </c>
      <c r="I149" s="217">
        <f t="shared" si="9"/>
        <v>0</v>
      </c>
      <c r="J149" s="218"/>
      <c r="K149" s="258">
        <f>SUM(K150:K159)</f>
        <v>0</v>
      </c>
      <c r="L149" s="233"/>
    </row>
    <row r="150" ht="21" customHeight="1" spans="1:12">
      <c r="A150" s="229" t="s">
        <v>1364</v>
      </c>
      <c r="B150" s="189">
        <v>159.02038</v>
      </c>
      <c r="C150" s="189"/>
      <c r="D150" s="189">
        <v>159</v>
      </c>
      <c r="E150" s="218"/>
      <c r="F150" s="217">
        <f t="shared" si="8"/>
        <v>-0.0203799999999887</v>
      </c>
      <c r="G150" s="218">
        <f t="shared" si="10"/>
        <v>-0.0128159673621637</v>
      </c>
      <c r="H150" s="189"/>
      <c r="I150" s="217">
        <f t="shared" si="9"/>
        <v>0</v>
      </c>
      <c r="J150" s="218"/>
      <c r="K150" s="227"/>
      <c r="L150" s="233"/>
    </row>
    <row r="151" ht="21" customHeight="1" spans="1:12">
      <c r="A151" s="226" t="s">
        <v>1365</v>
      </c>
      <c r="B151" s="189">
        <v>5.07442</v>
      </c>
      <c r="C151" s="189"/>
      <c r="D151" s="189">
        <v>188</v>
      </c>
      <c r="E151" s="218"/>
      <c r="F151" s="217">
        <f t="shared" si="8"/>
        <v>182.92558</v>
      </c>
      <c r="G151" s="218">
        <f t="shared" si="10"/>
        <v>3604.8569097552</v>
      </c>
      <c r="H151" s="189"/>
      <c r="I151" s="217">
        <f t="shared" si="9"/>
        <v>0</v>
      </c>
      <c r="J151" s="218"/>
      <c r="K151" s="227"/>
      <c r="L151" s="233"/>
    </row>
    <row r="152" ht="21" customHeight="1" spans="1:12">
      <c r="A152" s="226" t="s">
        <v>1366</v>
      </c>
      <c r="B152" s="189">
        <v>210</v>
      </c>
      <c r="C152" s="189"/>
      <c r="D152" s="189">
        <v>227</v>
      </c>
      <c r="E152" s="218"/>
      <c r="F152" s="217">
        <f t="shared" si="8"/>
        <v>17</v>
      </c>
      <c r="G152" s="218">
        <f t="shared" si="10"/>
        <v>8.09523809523809</v>
      </c>
      <c r="H152" s="189"/>
      <c r="I152" s="217">
        <f t="shared" si="9"/>
        <v>0</v>
      </c>
      <c r="J152" s="218"/>
      <c r="K152" s="227"/>
      <c r="L152" s="233"/>
    </row>
    <row r="153" ht="21" customHeight="1" spans="1:12">
      <c r="A153" s="226" t="s">
        <v>1367</v>
      </c>
      <c r="B153" s="189"/>
      <c r="C153" s="189"/>
      <c r="D153" s="189"/>
      <c r="E153" s="218"/>
      <c r="F153" s="217">
        <f t="shared" si="8"/>
        <v>0</v>
      </c>
      <c r="G153" s="218"/>
      <c r="H153" s="189"/>
      <c r="I153" s="217">
        <f t="shared" si="9"/>
        <v>0</v>
      </c>
      <c r="J153" s="218"/>
      <c r="K153" s="227"/>
      <c r="L153" s="233"/>
    </row>
    <row r="154" ht="21" customHeight="1" spans="1:12">
      <c r="A154" s="226" t="s">
        <v>1368</v>
      </c>
      <c r="B154" s="189">
        <v>340.227376</v>
      </c>
      <c r="C154" s="189"/>
      <c r="D154" s="189">
        <v>210</v>
      </c>
      <c r="E154" s="218"/>
      <c r="F154" s="217">
        <f t="shared" si="8"/>
        <v>-130.227376</v>
      </c>
      <c r="G154" s="218">
        <f>F154/B154*100</f>
        <v>-38.2765718417674</v>
      </c>
      <c r="H154" s="189"/>
      <c r="I154" s="217">
        <f t="shared" si="9"/>
        <v>0</v>
      </c>
      <c r="J154" s="218"/>
      <c r="K154" s="227"/>
      <c r="L154" s="233"/>
    </row>
    <row r="155" ht="21" customHeight="1" spans="1:12">
      <c r="A155" s="226" t="s">
        <v>1369</v>
      </c>
      <c r="B155" s="189"/>
      <c r="C155" s="189"/>
      <c r="D155" s="189"/>
      <c r="E155" s="218"/>
      <c r="F155" s="217">
        <f t="shared" si="8"/>
        <v>0</v>
      </c>
      <c r="G155" s="218"/>
      <c r="H155" s="189"/>
      <c r="I155" s="217">
        <f t="shared" si="9"/>
        <v>0</v>
      </c>
      <c r="J155" s="218"/>
      <c r="K155" s="227"/>
      <c r="L155" s="233"/>
    </row>
    <row r="156" ht="21" customHeight="1" spans="1:12">
      <c r="A156" s="226" t="s">
        <v>1370</v>
      </c>
      <c r="B156" s="219"/>
      <c r="C156" s="219"/>
      <c r="D156" s="219"/>
      <c r="E156" s="218"/>
      <c r="F156" s="217">
        <f t="shared" si="8"/>
        <v>0</v>
      </c>
      <c r="G156" s="218"/>
      <c r="H156" s="219"/>
      <c r="I156" s="217">
        <f t="shared" si="9"/>
        <v>0</v>
      </c>
      <c r="J156" s="218"/>
      <c r="K156" s="227"/>
      <c r="L156" s="233"/>
    </row>
    <row r="157" ht="21" customHeight="1" spans="1:12">
      <c r="A157" s="226" t="s">
        <v>1371</v>
      </c>
      <c r="B157" s="219"/>
      <c r="C157" s="219"/>
      <c r="D157" s="219"/>
      <c r="E157" s="218"/>
      <c r="F157" s="217">
        <f t="shared" si="8"/>
        <v>0</v>
      </c>
      <c r="G157" s="218"/>
      <c r="H157" s="219"/>
      <c r="I157" s="217">
        <f t="shared" si="9"/>
        <v>0</v>
      </c>
      <c r="J157" s="218"/>
      <c r="K157" s="227"/>
      <c r="L157" s="233"/>
    </row>
    <row r="158" ht="21" customHeight="1" spans="1:12">
      <c r="A158" s="226" t="s">
        <v>1372</v>
      </c>
      <c r="B158" s="219"/>
      <c r="C158" s="219"/>
      <c r="D158" s="219"/>
      <c r="E158" s="218"/>
      <c r="F158" s="217">
        <f t="shared" si="8"/>
        <v>0</v>
      </c>
      <c r="G158" s="218"/>
      <c r="H158" s="219"/>
      <c r="I158" s="217">
        <f t="shared" si="9"/>
        <v>0</v>
      </c>
      <c r="J158" s="218"/>
      <c r="K158" s="227"/>
      <c r="L158" s="233"/>
    </row>
    <row r="159" ht="21" customHeight="1" spans="1:12">
      <c r="A159" s="226" t="s">
        <v>1373</v>
      </c>
      <c r="B159" s="219">
        <v>51</v>
      </c>
      <c r="C159" s="219"/>
      <c r="D159" s="219">
        <v>113</v>
      </c>
      <c r="E159" s="218"/>
      <c r="F159" s="217">
        <f t="shared" si="8"/>
        <v>62</v>
      </c>
      <c r="G159" s="218">
        <f>F159/B159*100</f>
        <v>121.56862745098</v>
      </c>
      <c r="H159" s="219"/>
      <c r="I159" s="217">
        <f t="shared" si="9"/>
        <v>0</v>
      </c>
      <c r="J159" s="218"/>
      <c r="K159" s="227"/>
      <c r="L159" s="233"/>
    </row>
    <row r="160" ht="21" customHeight="1" spans="1:12">
      <c r="A160" s="216" t="s">
        <v>1374</v>
      </c>
      <c r="B160" s="219">
        <f>B161</f>
        <v>4958.229697</v>
      </c>
      <c r="C160" s="219"/>
      <c r="D160" s="219">
        <f>D161</f>
        <v>2377</v>
      </c>
      <c r="E160" s="218"/>
      <c r="F160" s="217">
        <f t="shared" si="8"/>
        <v>-2581.229697</v>
      </c>
      <c r="G160" s="218">
        <f>F160/B160*100</f>
        <v>-52.059502175984</v>
      </c>
      <c r="H160" s="219">
        <v>6225.15</v>
      </c>
      <c r="I160" s="217">
        <f t="shared" si="9"/>
        <v>6225.15</v>
      </c>
      <c r="J160" s="218"/>
      <c r="K160" s="227"/>
      <c r="L160" s="233"/>
    </row>
    <row r="161" ht="21" customHeight="1" spans="1:12">
      <c r="A161" s="240" t="s">
        <v>1375</v>
      </c>
      <c r="B161" s="219">
        <v>4958.229697</v>
      </c>
      <c r="C161" s="219"/>
      <c r="D161" s="219">
        <v>2377</v>
      </c>
      <c r="E161" s="218"/>
      <c r="F161" s="217">
        <f t="shared" si="8"/>
        <v>-2581.229697</v>
      </c>
      <c r="G161" s="218">
        <f>F161/B161*100</f>
        <v>-52.059502175984</v>
      </c>
      <c r="H161" s="219">
        <v>6225.15</v>
      </c>
      <c r="I161" s="217">
        <f t="shared" si="9"/>
        <v>6225.15</v>
      </c>
      <c r="J161" s="218"/>
      <c r="K161" s="227"/>
      <c r="L161" s="233"/>
    </row>
    <row r="162" ht="21" customHeight="1" spans="1:12">
      <c r="A162" s="216" t="s">
        <v>1376</v>
      </c>
      <c r="B162" s="219">
        <f>B163</f>
        <v>97.881368</v>
      </c>
      <c r="C162" s="219"/>
      <c r="D162" s="219">
        <f>D163</f>
        <v>0</v>
      </c>
      <c r="E162" s="218"/>
      <c r="F162" s="217">
        <f t="shared" si="8"/>
        <v>-97.881368</v>
      </c>
      <c r="G162" s="218">
        <f>F162/B162*100</f>
        <v>-100</v>
      </c>
      <c r="H162" s="219"/>
      <c r="I162" s="217">
        <f t="shared" si="9"/>
        <v>0</v>
      </c>
      <c r="J162" s="218"/>
      <c r="K162" s="227"/>
      <c r="L162" s="233"/>
    </row>
    <row r="163" ht="21" customHeight="1" spans="1:12">
      <c r="A163" s="240" t="s">
        <v>1377</v>
      </c>
      <c r="B163" s="219">
        <v>97.881368</v>
      </c>
      <c r="C163" s="219"/>
      <c r="D163" s="219"/>
      <c r="E163" s="218"/>
      <c r="F163" s="217">
        <f t="shared" si="8"/>
        <v>-97.881368</v>
      </c>
      <c r="G163" s="218">
        <f>F163/B163*100</f>
        <v>-100</v>
      </c>
      <c r="H163" s="219"/>
      <c r="I163" s="217">
        <f t="shared" si="9"/>
        <v>0</v>
      </c>
      <c r="J163" s="218"/>
      <c r="K163" s="227"/>
      <c r="L163" s="233"/>
    </row>
    <row r="164" ht="21" customHeight="1" spans="1:12">
      <c r="A164" s="216" t="s">
        <v>1378</v>
      </c>
      <c r="B164" s="219"/>
      <c r="C164" s="219"/>
      <c r="D164" s="219"/>
      <c r="E164" s="218"/>
      <c r="F164" s="217">
        <f t="shared" si="8"/>
        <v>0</v>
      </c>
      <c r="G164" s="218"/>
      <c r="H164" s="219"/>
      <c r="I164" s="217">
        <f t="shared" si="9"/>
        <v>0</v>
      </c>
      <c r="J164" s="218"/>
      <c r="K164" s="227"/>
      <c r="L164" s="233"/>
    </row>
    <row r="165" ht="21" customHeight="1" spans="1:12">
      <c r="A165" s="243" t="s">
        <v>1379</v>
      </c>
      <c r="B165" s="219"/>
      <c r="C165" s="219"/>
      <c r="D165" s="219"/>
      <c r="E165" s="218"/>
      <c r="F165" s="217">
        <f t="shared" si="8"/>
        <v>0</v>
      </c>
      <c r="G165" s="218"/>
      <c r="H165" s="219"/>
      <c r="I165" s="217">
        <f t="shared" si="9"/>
        <v>0</v>
      </c>
      <c r="J165" s="218"/>
      <c r="K165" s="227"/>
      <c r="L165" s="233"/>
    </row>
    <row r="166" s="3" customFormat="1" ht="21" customHeight="1" spans="1:12">
      <c r="A166" s="244" t="s">
        <v>1380</v>
      </c>
      <c r="B166" s="245">
        <f>B6+B18+B27+B95+B114+B121+B140+B147+B160+B162+B164+B165</f>
        <v>89127.08881</v>
      </c>
      <c r="C166" s="245">
        <f>C6+C18+C27+C95+C114+C121+C140+C147+C160+C162+C164+C165</f>
        <v>25976.3229</v>
      </c>
      <c r="D166" s="245">
        <f>D6+D18+D27+D95+D114+D121+D140+D147+D160+D162+D164+D165</f>
        <v>176045</v>
      </c>
      <c r="E166" s="246">
        <f>D166/C166*100</f>
        <v>677.713318693001</v>
      </c>
      <c r="F166" s="247">
        <f t="shared" si="8"/>
        <v>86917.91119</v>
      </c>
      <c r="G166" s="246">
        <f>F166/B166*100</f>
        <v>97.5213174249307</v>
      </c>
      <c r="H166" s="245">
        <f>H6+H18+H27+H95+H114+H121+H140+H147+H160+H162+H164+H165</f>
        <v>22652.74</v>
      </c>
      <c r="I166" s="247">
        <f t="shared" si="9"/>
        <v>-3323.5829</v>
      </c>
      <c r="J166" s="246">
        <f>I166/C166*100</f>
        <v>-12.7946627118652</v>
      </c>
      <c r="K166" s="248"/>
      <c r="L166" s="249"/>
    </row>
    <row r="167" s="3" customFormat="1" ht="21" customHeight="1" spans="1:12">
      <c r="A167" s="183" t="s">
        <v>1082</v>
      </c>
      <c r="B167" s="184">
        <f>SUM(B168:B172)</f>
        <v>75534</v>
      </c>
      <c r="C167" s="184">
        <f>SUM(C168:C172)</f>
        <v>65500</v>
      </c>
      <c r="D167" s="184">
        <f>SUM(D168:D172)</f>
        <v>116969</v>
      </c>
      <c r="E167" s="246">
        <f>D167/C167*100</f>
        <v>178.578625954198</v>
      </c>
      <c r="F167" s="247">
        <f t="shared" si="8"/>
        <v>41435</v>
      </c>
      <c r="G167" s="246">
        <f>F167/B167*100</f>
        <v>54.8560912966346</v>
      </c>
      <c r="H167" s="184">
        <f>SUM(H168:H172)</f>
        <v>58124</v>
      </c>
      <c r="I167" s="247">
        <f t="shared" si="9"/>
        <v>-7376</v>
      </c>
      <c r="J167" s="246">
        <f>I167/C167*100</f>
        <v>-11.2610687022901</v>
      </c>
      <c r="K167" s="250">
        <f>SUM(K168:K172)</f>
        <v>0</v>
      </c>
      <c r="L167" s="249"/>
    </row>
    <row r="168" ht="21" customHeight="1" spans="1:12">
      <c r="A168" s="186" t="s">
        <v>1083</v>
      </c>
      <c r="B168" s="217"/>
      <c r="C168" s="217"/>
      <c r="D168" s="187"/>
      <c r="E168" s="218"/>
      <c r="F168" s="217">
        <f t="shared" si="8"/>
        <v>0</v>
      </c>
      <c r="G168" s="218"/>
      <c r="H168" s="217"/>
      <c r="I168" s="217">
        <f t="shared" si="9"/>
        <v>0</v>
      </c>
      <c r="J168" s="218"/>
      <c r="K168" s="248"/>
      <c r="L168" s="233"/>
    </row>
    <row r="169" ht="21" customHeight="1" spans="1:12">
      <c r="A169" s="186" t="s">
        <v>1086</v>
      </c>
      <c r="B169" s="217"/>
      <c r="C169" s="217"/>
      <c r="D169" s="187"/>
      <c r="E169" s="218"/>
      <c r="F169" s="217">
        <f t="shared" si="8"/>
        <v>0</v>
      </c>
      <c r="G169" s="218"/>
      <c r="H169" s="217"/>
      <c r="I169" s="217">
        <f t="shared" si="9"/>
        <v>0</v>
      </c>
      <c r="J169" s="218"/>
      <c r="K169" s="248"/>
      <c r="L169" s="233"/>
    </row>
    <row r="170" ht="21" customHeight="1" spans="1:12">
      <c r="A170" s="186" t="s">
        <v>1089</v>
      </c>
      <c r="B170" s="189">
        <v>391</v>
      </c>
      <c r="C170" s="219">
        <v>10557</v>
      </c>
      <c r="D170" s="189">
        <v>5651</v>
      </c>
      <c r="E170" s="218">
        <f>D170/C170*100</f>
        <v>53.528464525907</v>
      </c>
      <c r="F170" s="217">
        <f t="shared" si="8"/>
        <v>5260</v>
      </c>
      <c r="G170" s="218">
        <f>F170/B170*100</f>
        <v>1345.26854219949</v>
      </c>
      <c r="H170" s="219">
        <v>10000</v>
      </c>
      <c r="I170" s="217">
        <f t="shared" si="9"/>
        <v>-557</v>
      </c>
      <c r="J170" s="218">
        <f>I170/C170*100</f>
        <v>-5.2761201098797</v>
      </c>
      <c r="K170" s="252"/>
      <c r="L170" s="233"/>
    </row>
    <row r="171" ht="21" customHeight="1" spans="1:12">
      <c r="A171" s="186" t="s">
        <v>1381</v>
      </c>
      <c r="B171" s="189">
        <v>20200</v>
      </c>
      <c r="C171" s="219"/>
      <c r="D171" s="189">
        <v>63194</v>
      </c>
      <c r="E171" s="218"/>
      <c r="F171" s="217">
        <f t="shared" si="8"/>
        <v>42994</v>
      </c>
      <c r="G171" s="218">
        <f>F171/B171*100</f>
        <v>212.841584158416</v>
      </c>
      <c r="H171" s="219"/>
      <c r="I171" s="217">
        <f t="shared" si="9"/>
        <v>0</v>
      </c>
      <c r="J171" s="218"/>
      <c r="K171" s="252"/>
      <c r="L171" s="233"/>
    </row>
    <row r="172" ht="21" customHeight="1" spans="1:12">
      <c r="A172" s="186" t="s">
        <v>1093</v>
      </c>
      <c r="B172" s="180">
        <v>54943</v>
      </c>
      <c r="C172" s="219">
        <v>54943</v>
      </c>
      <c r="D172" s="187">
        <v>48124</v>
      </c>
      <c r="E172" s="218">
        <f>D172/C172*100</f>
        <v>87.5889558269479</v>
      </c>
      <c r="F172" s="217">
        <f t="shared" si="8"/>
        <v>-6819</v>
      </c>
      <c r="G172" s="218">
        <f>F172/B172*100</f>
        <v>-12.4110441730521</v>
      </c>
      <c r="H172" s="219">
        <v>48124</v>
      </c>
      <c r="I172" s="217">
        <f t="shared" si="9"/>
        <v>-6819</v>
      </c>
      <c r="J172" s="218">
        <f>I172/C172*100</f>
        <v>-12.4110441730521</v>
      </c>
      <c r="K172" s="248"/>
      <c r="L172" s="233"/>
    </row>
    <row r="173" s="3" customFormat="1" ht="21" customHeight="1" spans="1:12">
      <c r="A173" s="244" t="s">
        <v>1382</v>
      </c>
      <c r="B173" s="247">
        <f>B166+B167</f>
        <v>164661.08881</v>
      </c>
      <c r="C173" s="175">
        <f>C166+C167</f>
        <v>91476.3229</v>
      </c>
      <c r="D173" s="247">
        <f>D166+D167</f>
        <v>293014</v>
      </c>
      <c r="E173" s="246">
        <f>D173/C173*100</f>
        <v>320.316766908435</v>
      </c>
      <c r="F173" s="247">
        <f t="shared" si="8"/>
        <v>128352.91119</v>
      </c>
      <c r="G173" s="246">
        <f>F173/B173*100</f>
        <v>77.9497524992711</v>
      </c>
      <c r="H173" s="247">
        <f>H166+H167</f>
        <v>80776.74</v>
      </c>
      <c r="I173" s="247">
        <f t="shared" si="9"/>
        <v>-10699.5829</v>
      </c>
      <c r="J173" s="246">
        <f>I173/C173*100</f>
        <v>-11.6965598974683</v>
      </c>
      <c r="K173" s="254"/>
      <c r="L173" s="249"/>
    </row>
    <row r="174" spans="1:12">
      <c r="A174" s="202"/>
      <c r="B174" s="203"/>
      <c r="C174" s="196"/>
      <c r="D174" s="197"/>
      <c r="E174" s="198"/>
      <c r="F174" s="199"/>
      <c r="G174" s="198"/>
      <c r="H174" s="196"/>
      <c r="I174" s="199"/>
      <c r="J174" s="198"/>
      <c r="K174" s="259"/>
      <c r="L174" s="233"/>
    </row>
  </sheetData>
  <mergeCells count="12">
    <mergeCell ref="A1:K1"/>
    <mergeCell ref="J2:K2"/>
    <mergeCell ref="C3:G3"/>
    <mergeCell ref="H3:J3"/>
    <mergeCell ref="F4:G4"/>
    <mergeCell ref="I4:J4"/>
    <mergeCell ref="A3:A5"/>
    <mergeCell ref="B4:B5"/>
    <mergeCell ref="C4:C5"/>
    <mergeCell ref="D4:D5"/>
    <mergeCell ref="E4:E5"/>
    <mergeCell ref="H4:H5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4"/>
  <sheetViews>
    <sheetView showZeros="0" zoomScaleSheetLayoutView="60" workbookViewId="0">
      <pane xSplit="2" ySplit="5" topLeftCell="C161" activePane="bottomRight" state="frozen"/>
      <selection/>
      <selection pane="topRight"/>
      <selection pane="bottomLeft"/>
      <selection pane="bottomRight" activeCell="E161" sqref="E161"/>
    </sheetView>
  </sheetViews>
  <sheetFormatPr defaultColWidth="9" defaultRowHeight="15.75"/>
  <cols>
    <col min="1" max="1" width="49.375" customWidth="1"/>
    <col min="2" max="3" width="12.625" style="191" customWidth="1"/>
    <col min="4" max="4" width="12.625" style="192" customWidth="1"/>
    <col min="5" max="5" width="12.625" style="193" customWidth="1"/>
    <col min="6" max="6" width="12.625" style="194" customWidth="1"/>
    <col min="7" max="7" width="12.625" style="193" customWidth="1"/>
    <col min="8" max="8" width="12.625" style="191" customWidth="1"/>
    <col min="9" max="9" width="12.625" style="194" customWidth="1"/>
    <col min="10" max="10" width="12.625" style="193" customWidth="1"/>
    <col min="11" max="11" width="12.625" style="36" customWidth="1"/>
  </cols>
  <sheetData>
    <row r="1" ht="24" spans="1:12">
      <c r="A1" s="195" t="s">
        <v>1246</v>
      </c>
      <c r="B1" s="196"/>
      <c r="C1" s="196"/>
      <c r="D1" s="197"/>
      <c r="E1" s="198"/>
      <c r="F1" s="199"/>
      <c r="G1" s="198"/>
      <c r="H1" s="196"/>
      <c r="I1" s="199"/>
      <c r="J1" s="198"/>
      <c r="K1" s="200"/>
      <c r="L1" s="201"/>
    </row>
    <row r="2" spans="1:12">
      <c r="A2" s="202"/>
      <c r="B2" s="203"/>
      <c r="C2" s="196"/>
      <c r="D2" s="197"/>
      <c r="E2" s="198"/>
      <c r="F2" s="199"/>
      <c r="G2" s="198"/>
      <c r="H2" s="196"/>
      <c r="I2" s="199"/>
      <c r="J2" s="204" t="s">
        <v>26</v>
      </c>
      <c r="K2" s="204"/>
      <c r="L2" s="201"/>
    </row>
    <row r="3" s="2" customFormat="1" ht="21" customHeight="1" spans="1:12">
      <c r="A3" s="205" t="s">
        <v>1247</v>
      </c>
      <c r="B3" s="206">
        <v>2024</v>
      </c>
      <c r="C3" s="206" t="s">
        <v>1248</v>
      </c>
      <c r="D3" s="207"/>
      <c r="E3" s="208"/>
      <c r="F3" s="209"/>
      <c r="G3" s="208"/>
      <c r="H3" s="206" t="s">
        <v>1249</v>
      </c>
      <c r="I3" s="209"/>
      <c r="J3" s="208"/>
      <c r="K3" s="171" t="s">
        <v>1250</v>
      </c>
      <c r="L3" s="210"/>
    </row>
    <row r="4" s="2" customFormat="1" ht="21" customHeight="1" spans="1:12">
      <c r="A4" s="205"/>
      <c r="B4" s="206" t="s">
        <v>153</v>
      </c>
      <c r="C4" s="206" t="s">
        <v>152</v>
      </c>
      <c r="D4" s="207" t="s">
        <v>153</v>
      </c>
      <c r="E4" s="211" t="s">
        <v>1251</v>
      </c>
      <c r="F4" s="212" t="s">
        <v>155</v>
      </c>
      <c r="G4" s="211"/>
      <c r="H4" s="213" t="s">
        <v>36</v>
      </c>
      <c r="I4" s="212" t="s">
        <v>1252</v>
      </c>
      <c r="J4" s="211"/>
      <c r="K4" s="214"/>
      <c r="L4" s="210"/>
    </row>
    <row r="5" s="2" customFormat="1" ht="21" customHeight="1" spans="1:12">
      <c r="A5" s="205"/>
      <c r="B5" s="206"/>
      <c r="C5" s="206"/>
      <c r="D5" s="207"/>
      <c r="E5" s="208"/>
      <c r="F5" s="209" t="s">
        <v>157</v>
      </c>
      <c r="G5" s="208" t="s">
        <v>39</v>
      </c>
      <c r="H5" s="213"/>
      <c r="I5" s="209" t="s">
        <v>157</v>
      </c>
      <c r="J5" s="208" t="s">
        <v>39</v>
      </c>
      <c r="K5" s="215"/>
      <c r="L5" s="210"/>
    </row>
    <row r="6" ht="21" customHeight="1" spans="1:12">
      <c r="A6" s="216" t="s">
        <v>1253</v>
      </c>
      <c r="B6" s="217">
        <f>B7+B12</f>
        <v>1</v>
      </c>
      <c r="C6" s="217">
        <f t="shared" ref="C6:H6" si="0">C7+C12</f>
        <v>0</v>
      </c>
      <c r="D6" s="217">
        <f t="shared" si="0"/>
        <v>3</v>
      </c>
      <c r="E6" s="218"/>
      <c r="F6" s="217">
        <f>D6-B6</f>
        <v>2</v>
      </c>
      <c r="G6" s="218">
        <f>F6/B6*100</f>
        <v>200</v>
      </c>
      <c r="H6" s="217">
        <f t="shared" si="0"/>
        <v>0</v>
      </c>
      <c r="I6" s="217">
        <f>H6-C6</f>
        <v>0</v>
      </c>
      <c r="J6" s="218"/>
      <c r="K6" s="219"/>
      <c r="L6" s="201"/>
    </row>
    <row r="7" ht="21" customHeight="1" spans="1:12">
      <c r="A7" s="220" t="s">
        <v>1254</v>
      </c>
      <c r="B7" s="180">
        <v>1</v>
      </c>
      <c r="C7" s="180">
        <f t="shared" ref="C7:H7" si="1">SUM(C8:C11)</f>
        <v>0</v>
      </c>
      <c r="D7" s="180">
        <f t="shared" si="1"/>
        <v>3</v>
      </c>
      <c r="E7" s="218"/>
      <c r="F7" s="217">
        <f t="shared" ref="F7:F38" si="2">D7-B7</f>
        <v>2</v>
      </c>
      <c r="G7" s="218">
        <f>F7/B7*100</f>
        <v>200</v>
      </c>
      <c r="H7" s="180">
        <f t="shared" si="1"/>
        <v>0</v>
      </c>
      <c r="I7" s="217">
        <f t="shared" ref="I7:I38" si="3">H7-C7</f>
        <v>0</v>
      </c>
      <c r="J7" s="218"/>
      <c r="K7" s="219"/>
      <c r="L7" s="201"/>
    </row>
    <row r="8" ht="21" customHeight="1" spans="1:12">
      <c r="A8" s="221" t="s">
        <v>1255</v>
      </c>
      <c r="B8" s="222"/>
      <c r="C8" s="180"/>
      <c r="D8" s="222"/>
      <c r="E8" s="218"/>
      <c r="F8" s="217">
        <f t="shared" si="2"/>
        <v>0</v>
      </c>
      <c r="G8" s="218"/>
      <c r="H8" s="180"/>
      <c r="I8" s="217">
        <f t="shared" si="3"/>
        <v>0</v>
      </c>
      <c r="J8" s="218"/>
      <c r="K8" s="219"/>
      <c r="L8" s="201"/>
    </row>
    <row r="9" ht="21" customHeight="1" spans="1:12">
      <c r="A9" s="221" t="s">
        <v>1256</v>
      </c>
      <c r="B9" s="222"/>
      <c r="C9" s="180"/>
      <c r="D9" s="222">
        <v>3</v>
      </c>
      <c r="E9" s="218"/>
      <c r="F9" s="217">
        <f t="shared" si="2"/>
        <v>3</v>
      </c>
      <c r="G9" s="218"/>
      <c r="H9" s="180"/>
      <c r="I9" s="217">
        <f t="shared" si="3"/>
        <v>0</v>
      </c>
      <c r="J9" s="218"/>
      <c r="K9" s="219"/>
      <c r="L9" s="201"/>
    </row>
    <row r="10" ht="21" customHeight="1" spans="1:12">
      <c r="A10" s="221" t="s">
        <v>1257</v>
      </c>
      <c r="B10" s="222"/>
      <c r="C10" s="180"/>
      <c r="D10" s="222"/>
      <c r="E10" s="218"/>
      <c r="F10" s="217">
        <f t="shared" si="2"/>
        <v>0</v>
      </c>
      <c r="G10" s="218"/>
      <c r="H10" s="180"/>
      <c r="I10" s="217">
        <f t="shared" si="3"/>
        <v>0</v>
      </c>
      <c r="J10" s="218"/>
      <c r="K10" s="219"/>
      <c r="L10" s="201"/>
    </row>
    <row r="11" ht="21" customHeight="1" spans="1:12">
      <c r="A11" s="221" t="s">
        <v>1258</v>
      </c>
      <c r="B11" s="222">
        <v>1</v>
      </c>
      <c r="C11" s="180"/>
      <c r="D11" s="222"/>
      <c r="E11" s="218"/>
      <c r="F11" s="217">
        <f t="shared" si="2"/>
        <v>-1</v>
      </c>
      <c r="G11" s="218">
        <f>F11/B11*100</f>
        <v>-100</v>
      </c>
      <c r="H11" s="180"/>
      <c r="I11" s="217">
        <f t="shared" si="3"/>
        <v>0</v>
      </c>
      <c r="J11" s="218"/>
      <c r="K11" s="219"/>
      <c r="L11" s="201"/>
    </row>
    <row r="12" ht="21" customHeight="1" spans="1:12">
      <c r="A12" s="220" t="s">
        <v>1259</v>
      </c>
      <c r="B12" s="180"/>
      <c r="C12" s="180"/>
      <c r="D12" s="180"/>
      <c r="E12" s="218"/>
      <c r="F12" s="217">
        <f t="shared" si="2"/>
        <v>0</v>
      </c>
      <c r="G12" s="218"/>
      <c r="H12" s="180"/>
      <c r="I12" s="217">
        <f t="shared" si="3"/>
        <v>0</v>
      </c>
      <c r="J12" s="218"/>
      <c r="K12" s="219"/>
      <c r="L12" s="201"/>
    </row>
    <row r="13" ht="21" customHeight="1" spans="1:12">
      <c r="A13" s="221" t="s">
        <v>1260</v>
      </c>
      <c r="B13" s="222"/>
      <c r="C13" s="180"/>
      <c r="D13" s="222"/>
      <c r="E13" s="218"/>
      <c r="F13" s="217">
        <f t="shared" si="2"/>
        <v>0</v>
      </c>
      <c r="G13" s="218"/>
      <c r="H13" s="180"/>
      <c r="I13" s="217">
        <f t="shared" si="3"/>
        <v>0</v>
      </c>
      <c r="J13" s="218"/>
      <c r="K13" s="219"/>
      <c r="L13" s="201"/>
    </row>
    <row r="14" ht="21" customHeight="1" spans="1:12">
      <c r="A14" s="221" t="s">
        <v>1261</v>
      </c>
      <c r="B14" s="222"/>
      <c r="C14" s="180"/>
      <c r="D14" s="222"/>
      <c r="E14" s="218"/>
      <c r="F14" s="217">
        <f t="shared" si="2"/>
        <v>0</v>
      </c>
      <c r="G14" s="218"/>
      <c r="H14" s="180"/>
      <c r="I14" s="217">
        <f t="shared" si="3"/>
        <v>0</v>
      </c>
      <c r="J14" s="218"/>
      <c r="K14" s="219"/>
      <c r="L14" s="201"/>
    </row>
    <row r="15" ht="21" customHeight="1" spans="1:12">
      <c r="A15" s="221" t="s">
        <v>1262</v>
      </c>
      <c r="B15" s="222"/>
      <c r="C15" s="180"/>
      <c r="D15" s="222"/>
      <c r="E15" s="218"/>
      <c r="F15" s="217">
        <f t="shared" si="2"/>
        <v>0</v>
      </c>
      <c r="G15" s="218"/>
      <c r="H15" s="180"/>
      <c r="I15" s="217">
        <f t="shared" si="3"/>
        <v>0</v>
      </c>
      <c r="J15" s="218"/>
      <c r="K15" s="219"/>
      <c r="L15" s="201"/>
    </row>
    <row r="16" ht="21" customHeight="1" spans="1:12">
      <c r="A16" s="221" t="s">
        <v>1263</v>
      </c>
      <c r="B16" s="222"/>
      <c r="C16" s="180"/>
      <c r="D16" s="222"/>
      <c r="E16" s="218"/>
      <c r="F16" s="217">
        <f t="shared" si="2"/>
        <v>0</v>
      </c>
      <c r="G16" s="218"/>
      <c r="H16" s="180"/>
      <c r="I16" s="217">
        <f t="shared" si="3"/>
        <v>0</v>
      </c>
      <c r="J16" s="218"/>
      <c r="K16" s="219"/>
      <c r="L16" s="201"/>
    </row>
    <row r="17" ht="21" customHeight="1" spans="1:12">
      <c r="A17" s="221" t="s">
        <v>1264</v>
      </c>
      <c r="B17" s="222"/>
      <c r="C17" s="180"/>
      <c r="D17" s="222"/>
      <c r="E17" s="218"/>
      <c r="F17" s="217">
        <f t="shared" si="2"/>
        <v>0</v>
      </c>
      <c r="G17" s="218"/>
      <c r="H17" s="180"/>
      <c r="I17" s="217">
        <f t="shared" si="3"/>
        <v>0</v>
      </c>
      <c r="J17" s="218"/>
      <c r="K17" s="219"/>
      <c r="L17" s="201"/>
    </row>
    <row r="18" ht="21" customHeight="1" spans="1:12">
      <c r="A18" s="216" t="s">
        <v>1265</v>
      </c>
      <c r="B18" s="180">
        <f>B19+B23</f>
        <v>0</v>
      </c>
      <c r="C18" s="180">
        <f t="shared" ref="C18:H18" si="4">C19+C23</f>
        <v>0</v>
      </c>
      <c r="D18" s="180">
        <f t="shared" si="4"/>
        <v>0</v>
      </c>
      <c r="E18" s="218"/>
      <c r="F18" s="217">
        <f t="shared" si="2"/>
        <v>0</v>
      </c>
      <c r="G18" s="218"/>
      <c r="H18" s="180">
        <f t="shared" si="4"/>
        <v>0</v>
      </c>
      <c r="I18" s="217">
        <f t="shared" si="3"/>
        <v>0</v>
      </c>
      <c r="J18" s="218"/>
      <c r="K18" s="180">
        <f>K19+K23</f>
        <v>0</v>
      </c>
      <c r="L18" s="201"/>
    </row>
    <row r="19" ht="21" customHeight="1" spans="1:12">
      <c r="A19" s="223" t="s">
        <v>1266</v>
      </c>
      <c r="B19" s="224">
        <f>SUM(B20:B22)</f>
        <v>0</v>
      </c>
      <c r="C19" s="224">
        <f t="shared" ref="C19:H19" si="5">SUM(C20:C22)</f>
        <v>0</v>
      </c>
      <c r="D19" s="224">
        <f t="shared" si="5"/>
        <v>0</v>
      </c>
      <c r="E19" s="218"/>
      <c r="F19" s="217">
        <f t="shared" si="2"/>
        <v>0</v>
      </c>
      <c r="G19" s="218"/>
      <c r="H19" s="224">
        <f t="shared" si="5"/>
        <v>0</v>
      </c>
      <c r="I19" s="217">
        <f t="shared" si="3"/>
        <v>0</v>
      </c>
      <c r="J19" s="218"/>
      <c r="K19" s="224">
        <f>SUM(K20:K22)</f>
        <v>0</v>
      </c>
      <c r="L19" s="225"/>
    </row>
    <row r="20" ht="21" customHeight="1" spans="1:12">
      <c r="A20" s="221" t="s">
        <v>1267</v>
      </c>
      <c r="B20" s="222"/>
      <c r="C20" s="180"/>
      <c r="D20" s="222"/>
      <c r="E20" s="218"/>
      <c r="F20" s="217">
        <f t="shared" si="2"/>
        <v>0</v>
      </c>
      <c r="G20" s="218"/>
      <c r="H20" s="180"/>
      <c r="I20" s="217">
        <f t="shared" si="3"/>
        <v>0</v>
      </c>
      <c r="J20" s="218"/>
      <c r="K20" s="219"/>
      <c r="L20" s="225"/>
    </row>
    <row r="21" ht="21" customHeight="1" spans="1:12">
      <c r="A21" s="221" t="s">
        <v>1268</v>
      </c>
      <c r="B21" s="222"/>
      <c r="C21" s="180"/>
      <c r="D21" s="222"/>
      <c r="E21" s="218"/>
      <c r="F21" s="217">
        <f t="shared" si="2"/>
        <v>0</v>
      </c>
      <c r="G21" s="218"/>
      <c r="H21" s="180"/>
      <c r="I21" s="217">
        <f t="shared" si="3"/>
        <v>0</v>
      </c>
      <c r="J21" s="218"/>
      <c r="K21" s="219"/>
      <c r="L21" s="225"/>
    </row>
    <row r="22" ht="21" customHeight="1" spans="1:12">
      <c r="A22" s="221" t="s">
        <v>1269</v>
      </c>
      <c r="B22" s="222"/>
      <c r="C22" s="180"/>
      <c r="D22" s="222"/>
      <c r="E22" s="218"/>
      <c r="F22" s="217">
        <f t="shared" si="2"/>
        <v>0</v>
      </c>
      <c r="G22" s="218"/>
      <c r="H22" s="180"/>
      <c r="I22" s="217">
        <f t="shared" si="3"/>
        <v>0</v>
      </c>
      <c r="J22" s="218"/>
      <c r="K22" s="219"/>
      <c r="L22" s="225"/>
    </row>
    <row r="23" ht="21" customHeight="1" spans="1:12">
      <c r="A23" s="220" t="s">
        <v>1270</v>
      </c>
      <c r="B23" s="222"/>
      <c r="C23" s="180"/>
      <c r="D23" s="222"/>
      <c r="E23" s="218"/>
      <c r="F23" s="217">
        <f t="shared" si="2"/>
        <v>0</v>
      </c>
      <c r="G23" s="218"/>
      <c r="H23" s="180"/>
      <c r="I23" s="217">
        <f t="shared" si="3"/>
        <v>0</v>
      </c>
      <c r="J23" s="218"/>
      <c r="K23" s="219"/>
      <c r="L23" s="225"/>
    </row>
    <row r="24" ht="21" customHeight="1" spans="1:12">
      <c r="A24" s="221" t="s">
        <v>1267</v>
      </c>
      <c r="B24" s="222"/>
      <c r="C24" s="180"/>
      <c r="D24" s="222"/>
      <c r="E24" s="218"/>
      <c r="F24" s="217">
        <f t="shared" si="2"/>
        <v>0</v>
      </c>
      <c r="G24" s="218"/>
      <c r="H24" s="180"/>
      <c r="I24" s="217">
        <f t="shared" si="3"/>
        <v>0</v>
      </c>
      <c r="J24" s="218"/>
      <c r="K24" s="219"/>
      <c r="L24" s="225"/>
    </row>
    <row r="25" ht="21" customHeight="1" spans="1:12">
      <c r="A25" s="221" t="s">
        <v>1268</v>
      </c>
      <c r="B25" s="222"/>
      <c r="C25" s="180"/>
      <c r="D25" s="222"/>
      <c r="E25" s="218"/>
      <c r="F25" s="217">
        <f t="shared" si="2"/>
        <v>0</v>
      </c>
      <c r="G25" s="218"/>
      <c r="H25" s="180"/>
      <c r="I25" s="217">
        <f t="shared" si="3"/>
        <v>0</v>
      </c>
      <c r="J25" s="218"/>
      <c r="K25" s="219"/>
      <c r="L25" s="225"/>
    </row>
    <row r="26" ht="21" customHeight="1" spans="1:12">
      <c r="A26" s="226" t="s">
        <v>1271</v>
      </c>
      <c r="B26" s="222"/>
      <c r="C26" s="180"/>
      <c r="D26" s="222"/>
      <c r="E26" s="218"/>
      <c r="F26" s="217">
        <f t="shared" si="2"/>
        <v>0</v>
      </c>
      <c r="G26" s="218"/>
      <c r="H26" s="180"/>
      <c r="I26" s="217">
        <f t="shared" si="3"/>
        <v>0</v>
      </c>
      <c r="J26" s="218"/>
      <c r="K26" s="219"/>
      <c r="L26" s="225"/>
    </row>
    <row r="27" ht="21" customHeight="1" spans="1:12">
      <c r="A27" s="216" t="s">
        <v>1272</v>
      </c>
      <c r="B27" s="180">
        <f>B28+B35+B51+B57+B61+B62+B68+B74+B78+B82+B86</f>
        <v>39203.975569</v>
      </c>
      <c r="C27" s="180">
        <f t="shared" ref="C27:H27" si="6">C28+C35+C51+C57+C61+C62+C68+C74+C78+C82+C86</f>
        <v>25976.3229</v>
      </c>
      <c r="D27" s="180">
        <f t="shared" si="6"/>
        <v>129353</v>
      </c>
      <c r="E27" s="218">
        <f>D27/C27*100</f>
        <v>497.965014132158</v>
      </c>
      <c r="F27" s="217">
        <f t="shared" si="2"/>
        <v>90149.024431</v>
      </c>
      <c r="G27" s="218">
        <f>F27/B27*100</f>
        <v>229.948680261611</v>
      </c>
      <c r="H27" s="180">
        <f t="shared" si="6"/>
        <v>16427.59</v>
      </c>
      <c r="I27" s="217">
        <f t="shared" si="3"/>
        <v>-9548.7329</v>
      </c>
      <c r="J27" s="218">
        <f>I27/C27*100</f>
        <v>-36.7593709731719</v>
      </c>
      <c r="K27" s="227"/>
      <c r="L27" s="201"/>
    </row>
    <row r="28" ht="21" customHeight="1" spans="1:12">
      <c r="A28" s="228" t="s">
        <v>1273</v>
      </c>
      <c r="B28" s="224"/>
      <c r="C28" s="224"/>
      <c r="D28" s="224"/>
      <c r="E28" s="218"/>
      <c r="F28" s="217">
        <f t="shared" si="2"/>
        <v>0</v>
      </c>
      <c r="G28" s="218"/>
      <c r="H28" s="224"/>
      <c r="I28" s="217">
        <f t="shared" si="3"/>
        <v>0</v>
      </c>
      <c r="J28" s="218"/>
      <c r="K28" s="219"/>
      <c r="L28" s="201"/>
    </row>
    <row r="29" ht="21" customHeight="1" spans="1:12">
      <c r="A29" s="226" t="s">
        <v>1274</v>
      </c>
      <c r="B29" s="222"/>
      <c r="C29" s="222"/>
      <c r="D29" s="222"/>
      <c r="E29" s="218"/>
      <c r="F29" s="217">
        <f t="shared" si="2"/>
        <v>0</v>
      </c>
      <c r="G29" s="218"/>
      <c r="H29" s="222"/>
      <c r="I29" s="217">
        <f t="shared" si="3"/>
        <v>0</v>
      </c>
      <c r="J29" s="218"/>
      <c r="K29" s="219"/>
      <c r="L29" s="201"/>
    </row>
    <row r="30" ht="21" customHeight="1" spans="1:12">
      <c r="A30" s="226" t="s">
        <v>1275</v>
      </c>
      <c r="B30" s="222"/>
      <c r="C30" s="222"/>
      <c r="D30" s="222"/>
      <c r="E30" s="218"/>
      <c r="F30" s="217">
        <f t="shared" si="2"/>
        <v>0</v>
      </c>
      <c r="G30" s="218"/>
      <c r="H30" s="222"/>
      <c r="I30" s="217">
        <f t="shared" si="3"/>
        <v>0</v>
      </c>
      <c r="J30" s="218"/>
      <c r="K30" s="219"/>
      <c r="L30" s="201"/>
    </row>
    <row r="31" ht="21" customHeight="1" spans="1:12">
      <c r="A31" s="229" t="s">
        <v>1276</v>
      </c>
      <c r="B31" s="222"/>
      <c r="C31" s="222"/>
      <c r="D31" s="222"/>
      <c r="E31" s="218"/>
      <c r="F31" s="217">
        <f t="shared" si="2"/>
        <v>0</v>
      </c>
      <c r="G31" s="218"/>
      <c r="H31" s="222"/>
      <c r="I31" s="217">
        <f t="shared" si="3"/>
        <v>0</v>
      </c>
      <c r="J31" s="218"/>
      <c r="K31" s="219"/>
      <c r="L31" s="201"/>
    </row>
    <row r="32" ht="21" customHeight="1" spans="1:12">
      <c r="A32" s="229" t="s">
        <v>1277</v>
      </c>
      <c r="B32" s="222"/>
      <c r="C32" s="222"/>
      <c r="D32" s="222"/>
      <c r="E32" s="218"/>
      <c r="F32" s="217">
        <f t="shared" si="2"/>
        <v>0</v>
      </c>
      <c r="G32" s="218"/>
      <c r="H32" s="222"/>
      <c r="I32" s="217">
        <f t="shared" si="3"/>
        <v>0</v>
      </c>
      <c r="J32" s="218"/>
      <c r="K32" s="219"/>
      <c r="L32" s="201"/>
    </row>
    <row r="33" ht="21" customHeight="1" spans="1:12">
      <c r="A33" s="229" t="s">
        <v>1278</v>
      </c>
      <c r="B33" s="222"/>
      <c r="C33" s="222"/>
      <c r="D33" s="222"/>
      <c r="E33" s="218"/>
      <c r="F33" s="217">
        <f t="shared" si="2"/>
        <v>0</v>
      </c>
      <c r="G33" s="218"/>
      <c r="H33" s="222"/>
      <c r="I33" s="217">
        <f t="shared" si="3"/>
        <v>0</v>
      </c>
      <c r="J33" s="218"/>
      <c r="K33" s="219"/>
      <c r="L33" s="201"/>
    </row>
    <row r="34" ht="21" customHeight="1" spans="1:12">
      <c r="A34" s="226" t="s">
        <v>1279</v>
      </c>
      <c r="B34" s="222"/>
      <c r="C34" s="222"/>
      <c r="D34" s="222"/>
      <c r="E34" s="218"/>
      <c r="F34" s="217">
        <f t="shared" si="2"/>
        <v>0</v>
      </c>
      <c r="G34" s="218"/>
      <c r="H34" s="222"/>
      <c r="I34" s="217">
        <f t="shared" si="3"/>
        <v>0</v>
      </c>
      <c r="J34" s="218"/>
      <c r="K34" s="219"/>
      <c r="L34" s="201"/>
    </row>
    <row r="35" ht="21" customHeight="1" spans="1:12">
      <c r="A35" s="228" t="s">
        <v>1280</v>
      </c>
      <c r="B35" s="224">
        <f>SUM(B36:B50)</f>
        <v>15329.915874</v>
      </c>
      <c r="C35" s="224">
        <f t="shared" ref="C35:H35" si="7">SUM(C36:C50)</f>
        <v>24688.3229</v>
      </c>
      <c r="D35" s="224">
        <f t="shared" si="7"/>
        <v>28051</v>
      </c>
      <c r="E35" s="218">
        <f>D35/C35*100</f>
        <v>113.620516523623</v>
      </c>
      <c r="F35" s="217">
        <f t="shared" si="2"/>
        <v>12721.084126</v>
      </c>
      <c r="G35" s="218">
        <f>F35/B35*100</f>
        <v>82.9820869896314</v>
      </c>
      <c r="H35" s="224">
        <f t="shared" si="7"/>
        <v>15231.59</v>
      </c>
      <c r="I35" s="217">
        <f t="shared" si="3"/>
        <v>-9456.7329</v>
      </c>
      <c r="J35" s="218">
        <f>I35/C35*100</f>
        <v>-38.3044767289559</v>
      </c>
      <c r="K35" s="230">
        <f>SUM(K36:K50)</f>
        <v>0</v>
      </c>
      <c r="L35" s="201"/>
    </row>
    <row r="36" ht="21" customHeight="1" spans="1:12">
      <c r="A36" s="226" t="s">
        <v>1281</v>
      </c>
      <c r="B36" s="231">
        <v>7350.069749</v>
      </c>
      <c r="C36" s="232">
        <v>15429.71</v>
      </c>
      <c r="D36" s="231">
        <v>25736</v>
      </c>
      <c r="E36" s="218">
        <f>D36/C36*100</f>
        <v>166.795098546894</v>
      </c>
      <c r="F36" s="217">
        <f t="shared" si="2"/>
        <v>18385.930251</v>
      </c>
      <c r="G36" s="218">
        <f>F36/B36*100</f>
        <v>250.146337094304</v>
      </c>
      <c r="H36" s="232">
        <v>8943.59</v>
      </c>
      <c r="I36" s="217">
        <f t="shared" si="3"/>
        <v>-6486.12</v>
      </c>
      <c r="J36" s="218">
        <f>I36/C36*100</f>
        <v>-42.0365645238958</v>
      </c>
      <c r="K36" s="227"/>
      <c r="L36" s="201"/>
    </row>
    <row r="37" ht="21" customHeight="1" spans="1:12">
      <c r="A37" s="226" t="s">
        <v>1282</v>
      </c>
      <c r="B37" s="222">
        <v>5714.44687</v>
      </c>
      <c r="C37" s="232">
        <v>200</v>
      </c>
      <c r="D37" s="222">
        <v>132</v>
      </c>
      <c r="E37" s="218">
        <f>D37/C37*100</f>
        <v>66</v>
      </c>
      <c r="F37" s="217">
        <f t="shared" si="2"/>
        <v>-5582.44687</v>
      </c>
      <c r="G37" s="218">
        <f>F37/B37*100</f>
        <v>-97.6900651453603</v>
      </c>
      <c r="H37" s="232">
        <v>400</v>
      </c>
      <c r="I37" s="217">
        <f t="shared" si="3"/>
        <v>200</v>
      </c>
      <c r="J37" s="218">
        <f>I37/C37*100</f>
        <v>100</v>
      </c>
      <c r="K37" s="227"/>
      <c r="L37" s="201"/>
    </row>
    <row r="38" ht="21" customHeight="1" spans="1:12">
      <c r="A38" s="226" t="s">
        <v>1283</v>
      </c>
      <c r="B38" s="222"/>
      <c r="C38" s="232"/>
      <c r="D38" s="222"/>
      <c r="E38" s="218"/>
      <c r="F38" s="217">
        <f t="shared" si="2"/>
        <v>0</v>
      </c>
      <c r="G38" s="218"/>
      <c r="H38" s="232"/>
      <c r="I38" s="217">
        <f t="shared" si="3"/>
        <v>0</v>
      </c>
      <c r="J38" s="218"/>
      <c r="K38" s="219"/>
      <c r="L38" s="201"/>
    </row>
    <row r="39" ht="21" customHeight="1" spans="1:12">
      <c r="A39" s="226" t="s">
        <v>1284</v>
      </c>
      <c r="B39" s="222">
        <v>375.440574</v>
      </c>
      <c r="C39" s="232">
        <v>6500</v>
      </c>
      <c r="D39" s="222">
        <v>524</v>
      </c>
      <c r="E39" s="218">
        <f>D39/C39*100</f>
        <v>8.06153846153846</v>
      </c>
      <c r="F39" s="217">
        <f t="shared" ref="F39:F70" si="8">D39-B39</f>
        <v>148.559426</v>
      </c>
      <c r="G39" s="218">
        <f>F39/B39*100</f>
        <v>39.5693583187415</v>
      </c>
      <c r="H39" s="232">
        <v>3571</v>
      </c>
      <c r="I39" s="217">
        <f t="shared" ref="I39:I70" si="9">H39-C39</f>
        <v>-2929</v>
      </c>
      <c r="J39" s="218">
        <f>I39/C39*100</f>
        <v>-45.0615384615385</v>
      </c>
      <c r="K39" s="227"/>
      <c r="L39" s="233"/>
    </row>
    <row r="40" ht="21" customHeight="1" spans="1:12">
      <c r="A40" s="226" t="s">
        <v>1285</v>
      </c>
      <c r="B40" s="222">
        <v>524.759581</v>
      </c>
      <c r="C40" s="232">
        <v>500</v>
      </c>
      <c r="D40" s="222">
        <v>80</v>
      </c>
      <c r="E40" s="218">
        <f>D40/C40*100</f>
        <v>16</v>
      </c>
      <c r="F40" s="217">
        <f t="shared" si="8"/>
        <v>-444.759581</v>
      </c>
      <c r="G40" s="218">
        <f>F40/B40*100</f>
        <v>-84.7549234170152</v>
      </c>
      <c r="H40" s="232">
        <v>500</v>
      </c>
      <c r="I40" s="217">
        <f t="shared" si="9"/>
        <v>0</v>
      </c>
      <c r="J40" s="218">
        <f>I40/C40*100</f>
        <v>0</v>
      </c>
      <c r="K40" s="227"/>
      <c r="L40" s="233"/>
    </row>
    <row r="41" ht="21" customHeight="1" spans="1:12">
      <c r="A41" s="234" t="s">
        <v>1286</v>
      </c>
      <c r="B41" s="222"/>
      <c r="C41" s="232">
        <v>31</v>
      </c>
      <c r="D41" s="222">
        <v>8</v>
      </c>
      <c r="E41" s="218">
        <f>D41/C41*100</f>
        <v>25.8064516129032</v>
      </c>
      <c r="F41" s="217">
        <f t="shared" si="8"/>
        <v>8</v>
      </c>
      <c r="G41" s="218"/>
      <c r="H41" s="232">
        <v>31</v>
      </c>
      <c r="I41" s="217">
        <f t="shared" si="9"/>
        <v>0</v>
      </c>
      <c r="J41" s="218">
        <f>I41/C41*100</f>
        <v>0</v>
      </c>
      <c r="K41" s="227"/>
      <c r="L41" s="233"/>
    </row>
    <row r="42" ht="21" customHeight="1" spans="1:12">
      <c r="A42" s="226" t="s">
        <v>1275</v>
      </c>
      <c r="B42" s="222"/>
      <c r="C42" s="232"/>
      <c r="D42" s="222"/>
      <c r="E42" s="218"/>
      <c r="F42" s="217">
        <f t="shared" si="8"/>
        <v>0</v>
      </c>
      <c r="G42" s="218"/>
      <c r="H42" s="232"/>
      <c r="I42" s="217">
        <f t="shared" si="9"/>
        <v>0</v>
      </c>
      <c r="J42" s="218"/>
      <c r="K42" s="219"/>
      <c r="L42" s="233"/>
    </row>
    <row r="43" ht="21" customHeight="1" spans="1:12">
      <c r="A43" s="226" t="s">
        <v>1287</v>
      </c>
      <c r="B43" s="222"/>
      <c r="C43" s="232"/>
      <c r="D43" s="222"/>
      <c r="E43" s="218"/>
      <c r="F43" s="217">
        <f t="shared" si="8"/>
        <v>0</v>
      </c>
      <c r="G43" s="218"/>
      <c r="H43" s="232"/>
      <c r="I43" s="217">
        <f t="shared" si="9"/>
        <v>0</v>
      </c>
      <c r="J43" s="218"/>
      <c r="K43" s="219"/>
      <c r="L43" s="233"/>
    </row>
    <row r="44" ht="21" customHeight="1" spans="1:12">
      <c r="A44" s="226" t="s">
        <v>1288</v>
      </c>
      <c r="B44" s="222"/>
      <c r="C44" s="232"/>
      <c r="D44" s="222"/>
      <c r="E44" s="218"/>
      <c r="F44" s="217">
        <f t="shared" si="8"/>
        <v>0</v>
      </c>
      <c r="G44" s="218"/>
      <c r="H44" s="232"/>
      <c r="I44" s="217">
        <f t="shared" si="9"/>
        <v>0</v>
      </c>
      <c r="J44" s="218"/>
      <c r="K44" s="219"/>
      <c r="L44" s="233"/>
    </row>
    <row r="45" ht="21" customHeight="1" spans="1:12">
      <c r="A45" s="229" t="s">
        <v>1276</v>
      </c>
      <c r="B45" s="222"/>
      <c r="C45" s="232"/>
      <c r="D45" s="222"/>
      <c r="E45" s="218"/>
      <c r="F45" s="217">
        <f t="shared" si="8"/>
        <v>0</v>
      </c>
      <c r="G45" s="218"/>
      <c r="H45" s="232"/>
      <c r="I45" s="217">
        <f t="shared" si="9"/>
        <v>0</v>
      </c>
      <c r="J45" s="218"/>
      <c r="K45" s="219"/>
      <c r="L45" s="233"/>
    </row>
    <row r="46" ht="21" customHeight="1" spans="1:12">
      <c r="A46" s="229" t="s">
        <v>1278</v>
      </c>
      <c r="B46" s="222"/>
      <c r="C46" s="222"/>
      <c r="D46" s="222"/>
      <c r="E46" s="218"/>
      <c r="F46" s="217">
        <f t="shared" si="8"/>
        <v>0</v>
      </c>
      <c r="G46" s="218"/>
      <c r="H46" s="222"/>
      <c r="I46" s="217">
        <f t="shared" si="9"/>
        <v>0</v>
      </c>
      <c r="J46" s="218"/>
      <c r="K46" s="219"/>
      <c r="L46" s="233"/>
    </row>
    <row r="47" ht="21" customHeight="1" spans="1:12">
      <c r="A47" s="229" t="s">
        <v>1289</v>
      </c>
      <c r="B47" s="222"/>
      <c r="C47" s="222"/>
      <c r="D47" s="222">
        <v>1296</v>
      </c>
      <c r="E47" s="218"/>
      <c r="F47" s="217">
        <f t="shared" si="8"/>
        <v>1296</v>
      </c>
      <c r="G47" s="218"/>
      <c r="H47" s="222">
        <v>1786</v>
      </c>
      <c r="I47" s="217">
        <f t="shared" si="9"/>
        <v>1786</v>
      </c>
      <c r="J47" s="218"/>
      <c r="K47" s="219"/>
      <c r="L47" s="233"/>
    </row>
    <row r="48" ht="21" customHeight="1" spans="1:12">
      <c r="A48" s="229" t="s">
        <v>1290</v>
      </c>
      <c r="B48" s="222"/>
      <c r="C48" s="222"/>
      <c r="D48" s="222"/>
      <c r="E48" s="218"/>
      <c r="F48" s="217">
        <f t="shared" si="8"/>
        <v>0</v>
      </c>
      <c r="G48" s="218"/>
      <c r="H48" s="222"/>
      <c r="I48" s="217">
        <f t="shared" si="9"/>
        <v>0</v>
      </c>
      <c r="J48" s="218"/>
      <c r="K48" s="219"/>
      <c r="L48" s="233"/>
    </row>
    <row r="49" ht="21" customHeight="1" spans="1:12">
      <c r="A49" s="229" t="s">
        <v>1291</v>
      </c>
      <c r="B49" s="222"/>
      <c r="C49" s="222"/>
      <c r="D49" s="222">
        <v>154</v>
      </c>
      <c r="E49" s="218"/>
      <c r="F49" s="217">
        <f t="shared" si="8"/>
        <v>154</v>
      </c>
      <c r="G49" s="218"/>
      <c r="H49" s="222"/>
      <c r="I49" s="217">
        <f t="shared" si="9"/>
        <v>0</v>
      </c>
      <c r="J49" s="218"/>
      <c r="K49" s="219"/>
      <c r="L49" s="233"/>
    </row>
    <row r="50" ht="21" customHeight="1" spans="1:12">
      <c r="A50" s="226" t="s">
        <v>1292</v>
      </c>
      <c r="B50" s="222">
        <v>1365.1991</v>
      </c>
      <c r="C50" s="222">
        <v>2027.6129</v>
      </c>
      <c r="D50" s="222">
        <v>121</v>
      </c>
      <c r="E50" s="218">
        <f>D50/C50*100</f>
        <v>5.96760851146686</v>
      </c>
      <c r="F50" s="217">
        <f t="shared" si="8"/>
        <v>-1244.1991</v>
      </c>
      <c r="G50" s="218">
        <f>F50/B50*100</f>
        <v>-91.1368239255359</v>
      </c>
      <c r="H50" s="222"/>
      <c r="I50" s="217">
        <f t="shared" si="9"/>
        <v>-2027.6129</v>
      </c>
      <c r="J50" s="218">
        <f>I50/C50*100</f>
        <v>-100</v>
      </c>
      <c r="K50" s="227"/>
      <c r="L50" s="233"/>
    </row>
    <row r="51" ht="21" customHeight="1" spans="1:12">
      <c r="A51" s="228" t="s">
        <v>1293</v>
      </c>
      <c r="B51" s="217"/>
      <c r="C51" s="217"/>
      <c r="D51" s="217"/>
      <c r="E51" s="218"/>
      <c r="F51" s="217">
        <f t="shared" si="8"/>
        <v>0</v>
      </c>
      <c r="G51" s="218"/>
      <c r="H51" s="217"/>
      <c r="I51" s="217">
        <f t="shared" si="9"/>
        <v>0</v>
      </c>
      <c r="J51" s="218"/>
      <c r="K51" s="219"/>
      <c r="L51" s="233"/>
    </row>
    <row r="52" ht="21" customHeight="1" spans="1:12">
      <c r="A52" s="226" t="s">
        <v>1294</v>
      </c>
      <c r="B52" s="222"/>
      <c r="C52" s="222"/>
      <c r="D52" s="222"/>
      <c r="E52" s="218"/>
      <c r="F52" s="217">
        <f t="shared" si="8"/>
        <v>0</v>
      </c>
      <c r="G52" s="218"/>
      <c r="H52" s="222"/>
      <c r="I52" s="217">
        <f t="shared" si="9"/>
        <v>0</v>
      </c>
      <c r="J52" s="218"/>
      <c r="K52" s="219"/>
      <c r="L52" s="233"/>
    </row>
    <row r="53" ht="21" customHeight="1" spans="1:12">
      <c r="A53" s="226" t="s">
        <v>1295</v>
      </c>
      <c r="B53" s="222"/>
      <c r="C53" s="222"/>
      <c r="D53" s="222"/>
      <c r="E53" s="218"/>
      <c r="F53" s="217">
        <f t="shared" si="8"/>
        <v>0</v>
      </c>
      <c r="G53" s="218"/>
      <c r="H53" s="222"/>
      <c r="I53" s="217">
        <f t="shared" si="9"/>
        <v>0</v>
      </c>
      <c r="J53" s="218"/>
      <c r="K53" s="219"/>
      <c r="L53" s="233"/>
    </row>
    <row r="54" ht="21" customHeight="1" spans="1:12">
      <c r="A54" s="226" t="s">
        <v>1296</v>
      </c>
      <c r="B54" s="222"/>
      <c r="C54" s="222"/>
      <c r="D54" s="222"/>
      <c r="E54" s="218"/>
      <c r="F54" s="217">
        <f t="shared" si="8"/>
        <v>0</v>
      </c>
      <c r="G54" s="218"/>
      <c r="H54" s="222"/>
      <c r="I54" s="217">
        <f t="shared" si="9"/>
        <v>0</v>
      </c>
      <c r="J54" s="218"/>
      <c r="K54" s="219"/>
      <c r="L54" s="233"/>
    </row>
    <row r="55" ht="21" customHeight="1" spans="1:12">
      <c r="A55" s="226" t="s">
        <v>1297</v>
      </c>
      <c r="B55" s="222"/>
      <c r="C55" s="222"/>
      <c r="D55" s="222"/>
      <c r="E55" s="218"/>
      <c r="F55" s="217">
        <f t="shared" si="8"/>
        <v>0</v>
      </c>
      <c r="G55" s="218"/>
      <c r="H55" s="222"/>
      <c r="I55" s="217">
        <f t="shared" si="9"/>
        <v>0</v>
      </c>
      <c r="J55" s="218"/>
      <c r="K55" s="219"/>
      <c r="L55" s="233"/>
    </row>
    <row r="56" ht="21" customHeight="1" spans="1:12">
      <c r="A56" s="226" t="s">
        <v>1298</v>
      </c>
      <c r="B56" s="222"/>
      <c r="C56" s="222"/>
      <c r="D56" s="222"/>
      <c r="E56" s="218"/>
      <c r="F56" s="217">
        <f t="shared" si="8"/>
        <v>0</v>
      </c>
      <c r="G56" s="218"/>
      <c r="H56" s="222"/>
      <c r="I56" s="217">
        <f t="shared" si="9"/>
        <v>0</v>
      </c>
      <c r="J56" s="218"/>
      <c r="K56" s="219"/>
      <c r="L56" s="233"/>
    </row>
    <row r="57" ht="21" customHeight="1" spans="1:12">
      <c r="A57" s="228" t="s">
        <v>1299</v>
      </c>
      <c r="B57" s="224"/>
      <c r="C57" s="224"/>
      <c r="D57" s="224"/>
      <c r="E57" s="218"/>
      <c r="F57" s="217">
        <f t="shared" si="8"/>
        <v>0</v>
      </c>
      <c r="G57" s="218"/>
      <c r="H57" s="224"/>
      <c r="I57" s="217">
        <f t="shared" si="9"/>
        <v>0</v>
      </c>
      <c r="J57" s="218"/>
      <c r="K57" s="219"/>
      <c r="L57" s="233"/>
    </row>
    <row r="58" ht="21" customHeight="1" spans="1:12">
      <c r="A58" s="226" t="s">
        <v>1300</v>
      </c>
      <c r="B58" s="224"/>
      <c r="C58" s="224"/>
      <c r="D58" s="224"/>
      <c r="E58" s="218"/>
      <c r="F58" s="217">
        <f t="shared" si="8"/>
        <v>0</v>
      </c>
      <c r="G58" s="218"/>
      <c r="H58" s="224"/>
      <c r="I58" s="217">
        <f t="shared" si="9"/>
        <v>0</v>
      </c>
      <c r="J58" s="218"/>
      <c r="K58" s="219"/>
      <c r="L58" s="233"/>
    </row>
    <row r="59" ht="21" customHeight="1" spans="1:12">
      <c r="A59" s="226" t="s">
        <v>1301</v>
      </c>
      <c r="B59" s="224"/>
      <c r="C59" s="224"/>
      <c r="D59" s="224"/>
      <c r="E59" s="218"/>
      <c r="F59" s="217">
        <f t="shared" si="8"/>
        <v>0</v>
      </c>
      <c r="G59" s="218"/>
      <c r="H59" s="224"/>
      <c r="I59" s="217">
        <f t="shared" si="9"/>
        <v>0</v>
      </c>
      <c r="J59" s="218"/>
      <c r="K59" s="219"/>
      <c r="L59" s="233"/>
    </row>
    <row r="60" ht="21" customHeight="1" spans="1:12">
      <c r="A60" s="226" t="s">
        <v>1302</v>
      </c>
      <c r="B60" s="222"/>
      <c r="C60" s="222"/>
      <c r="D60" s="222"/>
      <c r="E60" s="218"/>
      <c r="F60" s="217">
        <f t="shared" si="8"/>
        <v>0</v>
      </c>
      <c r="G60" s="218"/>
      <c r="H60" s="222"/>
      <c r="I60" s="217">
        <f t="shared" si="9"/>
        <v>0</v>
      </c>
      <c r="J60" s="218"/>
      <c r="K60" s="219"/>
      <c r="L60" s="233"/>
    </row>
    <row r="61" ht="21" customHeight="1" spans="1:12">
      <c r="A61" s="228" t="s">
        <v>1303</v>
      </c>
      <c r="B61" s="224"/>
      <c r="C61" s="224"/>
      <c r="D61" s="224"/>
      <c r="E61" s="218"/>
      <c r="F61" s="217">
        <f t="shared" si="8"/>
        <v>0</v>
      </c>
      <c r="G61" s="218"/>
      <c r="H61" s="224"/>
      <c r="I61" s="217">
        <f t="shared" si="9"/>
        <v>0</v>
      </c>
      <c r="J61" s="218"/>
      <c r="K61" s="219"/>
      <c r="L61" s="233"/>
    </row>
    <row r="62" ht="21" customHeight="1" spans="1:12">
      <c r="A62" s="228" t="s">
        <v>1304</v>
      </c>
      <c r="B62" s="180"/>
      <c r="C62" s="180"/>
      <c r="D62" s="180"/>
      <c r="E62" s="218"/>
      <c r="F62" s="217">
        <f t="shared" si="8"/>
        <v>0</v>
      </c>
      <c r="G62" s="218"/>
      <c r="H62" s="180"/>
      <c r="I62" s="217">
        <f t="shared" si="9"/>
        <v>0</v>
      </c>
      <c r="J62" s="218"/>
      <c r="K62" s="219"/>
      <c r="L62" s="233"/>
    </row>
    <row r="63" ht="21" customHeight="1" spans="1:12">
      <c r="A63" s="226" t="s">
        <v>1305</v>
      </c>
      <c r="B63" s="222"/>
      <c r="C63" s="222"/>
      <c r="D63" s="222"/>
      <c r="E63" s="218"/>
      <c r="F63" s="217">
        <f t="shared" si="8"/>
        <v>0</v>
      </c>
      <c r="G63" s="218"/>
      <c r="H63" s="222"/>
      <c r="I63" s="217">
        <f t="shared" si="9"/>
        <v>0</v>
      </c>
      <c r="J63" s="218"/>
      <c r="K63" s="219"/>
      <c r="L63" s="233"/>
    </row>
    <row r="64" ht="21" customHeight="1" spans="1:12">
      <c r="A64" s="226" t="s">
        <v>1306</v>
      </c>
      <c r="B64" s="222"/>
      <c r="C64" s="222"/>
      <c r="D64" s="222"/>
      <c r="E64" s="218"/>
      <c r="F64" s="217">
        <f t="shared" si="8"/>
        <v>0</v>
      </c>
      <c r="G64" s="218"/>
      <c r="H64" s="222"/>
      <c r="I64" s="217">
        <f t="shared" si="9"/>
        <v>0</v>
      </c>
      <c r="J64" s="218"/>
      <c r="K64" s="219"/>
      <c r="L64" s="233"/>
    </row>
    <row r="65" ht="21" customHeight="1" spans="1:12">
      <c r="A65" s="226" t="s">
        <v>1307</v>
      </c>
      <c r="B65" s="222"/>
      <c r="C65" s="222"/>
      <c r="D65" s="222"/>
      <c r="E65" s="218"/>
      <c r="F65" s="217">
        <f t="shared" si="8"/>
        <v>0</v>
      </c>
      <c r="G65" s="218"/>
      <c r="H65" s="222"/>
      <c r="I65" s="217">
        <f t="shared" si="9"/>
        <v>0</v>
      </c>
      <c r="J65" s="218"/>
      <c r="K65" s="219"/>
      <c r="L65" s="233"/>
    </row>
    <row r="66" ht="21" customHeight="1" spans="1:12">
      <c r="A66" s="226" t="s">
        <v>1308</v>
      </c>
      <c r="B66" s="222"/>
      <c r="C66" s="222"/>
      <c r="D66" s="222"/>
      <c r="E66" s="218"/>
      <c r="F66" s="217">
        <f t="shared" si="8"/>
        <v>0</v>
      </c>
      <c r="G66" s="218"/>
      <c r="H66" s="222"/>
      <c r="I66" s="217">
        <f t="shared" si="9"/>
        <v>0</v>
      </c>
      <c r="J66" s="218"/>
      <c r="K66" s="219"/>
      <c r="L66" s="233"/>
    </row>
    <row r="67" ht="21" customHeight="1" spans="1:12">
      <c r="A67" s="226" t="s">
        <v>1309</v>
      </c>
      <c r="B67" s="222"/>
      <c r="C67" s="222"/>
      <c r="D67" s="222"/>
      <c r="E67" s="218"/>
      <c r="F67" s="217">
        <f t="shared" si="8"/>
        <v>0</v>
      </c>
      <c r="G67" s="218"/>
      <c r="H67" s="222"/>
      <c r="I67" s="217">
        <f t="shared" si="9"/>
        <v>0</v>
      </c>
      <c r="J67" s="218"/>
      <c r="K67" s="219"/>
      <c r="L67" s="233"/>
    </row>
    <row r="68" ht="21" customHeight="1" spans="1:12">
      <c r="A68" s="228" t="s">
        <v>1310</v>
      </c>
      <c r="B68" s="224"/>
      <c r="C68" s="224">
        <v>70</v>
      </c>
      <c r="D68" s="224"/>
      <c r="E68" s="218">
        <f>D68/C68*100</f>
        <v>0</v>
      </c>
      <c r="F68" s="217">
        <f t="shared" si="8"/>
        <v>0</v>
      </c>
      <c r="G68" s="218"/>
      <c r="H68" s="224"/>
      <c r="I68" s="217">
        <f t="shared" si="9"/>
        <v>-70</v>
      </c>
      <c r="J68" s="218">
        <f>I68/C68*100</f>
        <v>-100</v>
      </c>
      <c r="K68" s="227"/>
      <c r="L68" s="233"/>
    </row>
    <row r="69" ht="21" customHeight="1" spans="1:12">
      <c r="A69" s="226" t="s">
        <v>1294</v>
      </c>
      <c r="B69" s="224"/>
      <c r="C69" s="235"/>
      <c r="D69" s="224"/>
      <c r="E69" s="218"/>
      <c r="F69" s="217">
        <f t="shared" si="8"/>
        <v>0</v>
      </c>
      <c r="G69" s="218"/>
      <c r="H69" s="235"/>
      <c r="I69" s="217">
        <f t="shared" si="9"/>
        <v>0</v>
      </c>
      <c r="J69" s="218"/>
      <c r="K69" s="219"/>
      <c r="L69" s="233"/>
    </row>
    <row r="70" ht="21" customHeight="1" spans="1:12">
      <c r="A70" s="226" t="s">
        <v>1295</v>
      </c>
      <c r="B70" s="224"/>
      <c r="C70" s="235"/>
      <c r="D70" s="224"/>
      <c r="E70" s="218"/>
      <c r="F70" s="217">
        <f t="shared" si="8"/>
        <v>0</v>
      </c>
      <c r="G70" s="218"/>
      <c r="H70" s="235"/>
      <c r="I70" s="217">
        <f t="shared" si="9"/>
        <v>0</v>
      </c>
      <c r="J70" s="218"/>
      <c r="K70" s="219"/>
      <c r="L70" s="233"/>
    </row>
    <row r="71" ht="21" customHeight="1" spans="1:12">
      <c r="A71" s="226" t="s">
        <v>1296</v>
      </c>
      <c r="B71" s="224"/>
      <c r="C71" s="235"/>
      <c r="D71" s="224"/>
      <c r="E71" s="218"/>
      <c r="F71" s="217">
        <f t="shared" ref="F71:F102" si="10">D71-B71</f>
        <v>0</v>
      </c>
      <c r="G71" s="218"/>
      <c r="H71" s="235"/>
      <c r="I71" s="217">
        <f t="shared" ref="I71:I102" si="11">H71-C71</f>
        <v>0</v>
      </c>
      <c r="J71" s="218"/>
      <c r="K71" s="219"/>
      <c r="L71" s="233"/>
    </row>
    <row r="72" ht="21" customHeight="1" spans="1:12">
      <c r="A72" s="226" t="s">
        <v>1297</v>
      </c>
      <c r="B72" s="224"/>
      <c r="C72" s="235"/>
      <c r="D72" s="224"/>
      <c r="E72" s="218"/>
      <c r="F72" s="217">
        <f t="shared" si="10"/>
        <v>0</v>
      </c>
      <c r="G72" s="218"/>
      <c r="H72" s="235"/>
      <c r="I72" s="217">
        <f t="shared" si="11"/>
        <v>0</v>
      </c>
      <c r="J72" s="218"/>
      <c r="K72" s="219"/>
      <c r="L72" s="233"/>
    </row>
    <row r="73" ht="21" customHeight="1" spans="1:12">
      <c r="A73" s="226" t="s">
        <v>1311</v>
      </c>
      <c r="B73" s="224"/>
      <c r="C73" s="222">
        <v>70</v>
      </c>
      <c r="D73" s="224"/>
      <c r="E73" s="218">
        <f>D73/C73*100</f>
        <v>0</v>
      </c>
      <c r="F73" s="217">
        <f t="shared" si="10"/>
        <v>0</v>
      </c>
      <c r="G73" s="218"/>
      <c r="H73" s="222"/>
      <c r="I73" s="217">
        <f t="shared" si="11"/>
        <v>-70</v>
      </c>
      <c r="J73" s="218">
        <f>I73/C73*100</f>
        <v>-100</v>
      </c>
      <c r="K73" s="227"/>
      <c r="L73" s="233"/>
    </row>
    <row r="74" ht="21" customHeight="1" spans="1:12">
      <c r="A74" s="236" t="s">
        <v>1312</v>
      </c>
      <c r="B74" s="224">
        <f>SUM(B75:B77)</f>
        <v>1028</v>
      </c>
      <c r="C74" s="224">
        <f t="shared" ref="C74:H74" si="12">SUM(C75:C77)</f>
        <v>1218</v>
      </c>
      <c r="D74" s="224">
        <f t="shared" si="12"/>
        <v>1075</v>
      </c>
      <c r="E74" s="218">
        <f>D74/C74*100</f>
        <v>88.2594417077176</v>
      </c>
      <c r="F74" s="217">
        <f t="shared" si="10"/>
        <v>47</v>
      </c>
      <c r="G74" s="218">
        <f>F74/B74*100</f>
        <v>4.57198443579767</v>
      </c>
      <c r="H74" s="224">
        <f t="shared" si="12"/>
        <v>1196</v>
      </c>
      <c r="I74" s="217">
        <f t="shared" si="11"/>
        <v>-22</v>
      </c>
      <c r="J74" s="218">
        <f>I74/C74*100</f>
        <v>-1.80623973727422</v>
      </c>
      <c r="K74" s="227"/>
      <c r="L74" s="233"/>
    </row>
    <row r="75" ht="21" customHeight="1" spans="1:12">
      <c r="A75" s="226" t="s">
        <v>1313</v>
      </c>
      <c r="B75" s="224">
        <v>1028</v>
      </c>
      <c r="C75" s="224">
        <v>1218</v>
      </c>
      <c r="D75" s="224">
        <v>1075</v>
      </c>
      <c r="E75" s="218">
        <f>D75/C75*100</f>
        <v>88.2594417077176</v>
      </c>
      <c r="F75" s="217">
        <f t="shared" si="10"/>
        <v>47</v>
      </c>
      <c r="G75" s="218">
        <f>F75/B75*100</f>
        <v>4.57198443579767</v>
      </c>
      <c r="H75" s="224">
        <v>1196</v>
      </c>
      <c r="I75" s="217">
        <f t="shared" si="11"/>
        <v>-22</v>
      </c>
      <c r="J75" s="218">
        <f>I75/C75*100</f>
        <v>-1.80623973727422</v>
      </c>
      <c r="K75" s="227"/>
      <c r="L75" s="233"/>
    </row>
    <row r="76" ht="21" customHeight="1" spans="1:12">
      <c r="A76" s="226" t="s">
        <v>1314</v>
      </c>
      <c r="B76" s="224"/>
      <c r="C76" s="224"/>
      <c r="D76" s="224"/>
      <c r="E76" s="218"/>
      <c r="F76" s="217">
        <f t="shared" si="10"/>
        <v>0</v>
      </c>
      <c r="G76" s="218"/>
      <c r="H76" s="224"/>
      <c r="I76" s="217">
        <f t="shared" si="11"/>
        <v>0</v>
      </c>
      <c r="J76" s="218"/>
      <c r="K76" s="219"/>
      <c r="L76" s="233"/>
    </row>
    <row r="77" ht="21" customHeight="1" spans="1:12">
      <c r="A77" s="226" t="s">
        <v>1315</v>
      </c>
      <c r="B77" s="224"/>
      <c r="C77" s="224"/>
      <c r="D77" s="224"/>
      <c r="E77" s="218"/>
      <c r="F77" s="217">
        <f t="shared" si="10"/>
        <v>0</v>
      </c>
      <c r="G77" s="218"/>
      <c r="H77" s="224"/>
      <c r="I77" s="217">
        <f t="shared" si="11"/>
        <v>0</v>
      </c>
      <c r="J77" s="218"/>
      <c r="K77" s="219"/>
      <c r="L77" s="233"/>
    </row>
    <row r="78" ht="21" customHeight="1" spans="1:12">
      <c r="A78" s="236" t="s">
        <v>1316</v>
      </c>
      <c r="B78" s="224"/>
      <c r="C78" s="224"/>
      <c r="D78" s="224"/>
      <c r="E78" s="218"/>
      <c r="F78" s="217">
        <f t="shared" si="10"/>
        <v>0</v>
      </c>
      <c r="G78" s="218"/>
      <c r="H78" s="224"/>
      <c r="I78" s="217">
        <f t="shared" si="11"/>
        <v>0</v>
      </c>
      <c r="J78" s="218"/>
      <c r="K78" s="219"/>
      <c r="L78" s="233"/>
    </row>
    <row r="79" ht="21" customHeight="1" spans="1:12">
      <c r="A79" s="226" t="s">
        <v>1281</v>
      </c>
      <c r="B79" s="224"/>
      <c r="C79" s="224"/>
      <c r="D79" s="224"/>
      <c r="E79" s="218"/>
      <c r="F79" s="217">
        <f t="shared" si="10"/>
        <v>0</v>
      </c>
      <c r="G79" s="218"/>
      <c r="H79" s="224"/>
      <c r="I79" s="217">
        <f t="shared" si="11"/>
        <v>0</v>
      </c>
      <c r="J79" s="218"/>
      <c r="K79" s="219"/>
      <c r="L79" s="233"/>
    </row>
    <row r="80" ht="21" customHeight="1" spans="1:12">
      <c r="A80" s="226" t="s">
        <v>1282</v>
      </c>
      <c r="B80" s="224"/>
      <c r="C80" s="224"/>
      <c r="D80" s="224"/>
      <c r="E80" s="218"/>
      <c r="F80" s="217">
        <f t="shared" si="10"/>
        <v>0</v>
      </c>
      <c r="G80" s="218"/>
      <c r="H80" s="224"/>
      <c r="I80" s="217">
        <f t="shared" si="11"/>
        <v>0</v>
      </c>
      <c r="J80" s="218"/>
      <c r="K80" s="219"/>
      <c r="L80" s="233"/>
    </row>
    <row r="81" ht="21" customHeight="1" spans="1:12">
      <c r="A81" s="226" t="s">
        <v>1317</v>
      </c>
      <c r="B81" s="224"/>
      <c r="C81" s="224"/>
      <c r="D81" s="224"/>
      <c r="E81" s="218"/>
      <c r="F81" s="217">
        <f t="shared" si="10"/>
        <v>0</v>
      </c>
      <c r="G81" s="218"/>
      <c r="H81" s="224"/>
      <c r="I81" s="217">
        <f t="shared" si="11"/>
        <v>0</v>
      </c>
      <c r="J81" s="218"/>
      <c r="K81" s="219"/>
      <c r="L81" s="233"/>
    </row>
    <row r="82" ht="21" customHeight="1" spans="1:12">
      <c r="A82" s="236" t="s">
        <v>1318</v>
      </c>
      <c r="B82" s="224"/>
      <c r="C82" s="224"/>
      <c r="D82" s="224"/>
      <c r="E82" s="218"/>
      <c r="F82" s="217">
        <f t="shared" si="10"/>
        <v>0</v>
      </c>
      <c r="G82" s="218"/>
      <c r="H82" s="224"/>
      <c r="I82" s="217">
        <f t="shared" si="11"/>
        <v>0</v>
      </c>
      <c r="J82" s="218"/>
      <c r="K82" s="219"/>
      <c r="L82" s="233"/>
    </row>
    <row r="83" ht="21" customHeight="1" spans="1:12">
      <c r="A83" s="226" t="s">
        <v>1281</v>
      </c>
      <c r="B83" s="224"/>
      <c r="C83" s="224"/>
      <c r="D83" s="224"/>
      <c r="E83" s="218"/>
      <c r="F83" s="217">
        <f t="shared" si="10"/>
        <v>0</v>
      </c>
      <c r="G83" s="218"/>
      <c r="H83" s="224"/>
      <c r="I83" s="217">
        <f t="shared" si="11"/>
        <v>0</v>
      </c>
      <c r="J83" s="218"/>
      <c r="K83" s="219"/>
      <c r="L83" s="233"/>
    </row>
    <row r="84" ht="21" customHeight="1" spans="1:12">
      <c r="A84" s="226" t="s">
        <v>1282</v>
      </c>
      <c r="B84" s="224"/>
      <c r="C84" s="224"/>
      <c r="D84" s="224"/>
      <c r="E84" s="218"/>
      <c r="F84" s="217">
        <f t="shared" si="10"/>
        <v>0</v>
      </c>
      <c r="G84" s="218"/>
      <c r="H84" s="224"/>
      <c r="I84" s="217">
        <f t="shared" si="11"/>
        <v>0</v>
      </c>
      <c r="J84" s="218"/>
      <c r="K84" s="219"/>
      <c r="L84" s="233"/>
    </row>
    <row r="85" ht="21" customHeight="1" spans="1:12">
      <c r="A85" s="226" t="s">
        <v>1319</v>
      </c>
      <c r="B85" s="224"/>
      <c r="C85" s="224"/>
      <c r="D85" s="224"/>
      <c r="E85" s="218"/>
      <c r="F85" s="217">
        <f t="shared" si="10"/>
        <v>0</v>
      </c>
      <c r="G85" s="218"/>
      <c r="H85" s="224"/>
      <c r="I85" s="217">
        <f t="shared" si="11"/>
        <v>0</v>
      </c>
      <c r="J85" s="218"/>
      <c r="K85" s="219"/>
      <c r="L85" s="233"/>
    </row>
    <row r="86" ht="21" customHeight="1" spans="1:12">
      <c r="A86" s="236" t="s">
        <v>1320</v>
      </c>
      <c r="B86" s="224">
        <f>SUM(B87:B94)</f>
        <v>22846.059695</v>
      </c>
      <c r="C86" s="224">
        <f t="shared" ref="C86:H86" si="13">SUM(C87:C94)</f>
        <v>0</v>
      </c>
      <c r="D86" s="224">
        <f t="shared" si="13"/>
        <v>100227</v>
      </c>
      <c r="E86" s="218"/>
      <c r="F86" s="217">
        <f t="shared" si="10"/>
        <v>77380.940305</v>
      </c>
      <c r="G86" s="218">
        <f>F86/B86*100</f>
        <v>338.705848352201</v>
      </c>
      <c r="H86" s="224">
        <f t="shared" si="13"/>
        <v>0</v>
      </c>
      <c r="I86" s="217">
        <f t="shared" si="11"/>
        <v>0</v>
      </c>
      <c r="J86" s="218"/>
      <c r="K86" s="219"/>
      <c r="L86" s="233"/>
    </row>
    <row r="87" ht="21" customHeight="1" spans="1:12">
      <c r="A87" s="226" t="s">
        <v>1281</v>
      </c>
      <c r="B87" s="224">
        <v>1120</v>
      </c>
      <c r="C87" s="224"/>
      <c r="D87" s="224"/>
      <c r="E87" s="218"/>
      <c r="F87" s="217">
        <f t="shared" si="10"/>
        <v>-1120</v>
      </c>
      <c r="G87" s="218">
        <f>F87/B87*100</f>
        <v>-100</v>
      </c>
      <c r="H87" s="224"/>
      <c r="I87" s="217">
        <f t="shared" si="11"/>
        <v>0</v>
      </c>
      <c r="J87" s="218"/>
      <c r="K87" s="219"/>
      <c r="L87" s="233"/>
    </row>
    <row r="88" ht="21" customHeight="1" spans="1:12">
      <c r="A88" s="226" t="s">
        <v>1282</v>
      </c>
      <c r="B88" s="224"/>
      <c r="C88" s="224"/>
      <c r="D88" s="224">
        <v>1335</v>
      </c>
      <c r="E88" s="218"/>
      <c r="F88" s="217">
        <f t="shared" si="10"/>
        <v>1335</v>
      </c>
      <c r="G88" s="218"/>
      <c r="H88" s="224"/>
      <c r="I88" s="217">
        <f t="shared" si="11"/>
        <v>0</v>
      </c>
      <c r="J88" s="218"/>
      <c r="K88" s="219"/>
      <c r="L88" s="233"/>
    </row>
    <row r="89" ht="21" customHeight="1" spans="1:12">
      <c r="A89" s="226" t="s">
        <v>1283</v>
      </c>
      <c r="B89" s="224">
        <v>5479</v>
      </c>
      <c r="C89" s="224"/>
      <c r="D89" s="224">
        <v>49464</v>
      </c>
      <c r="E89" s="218"/>
      <c r="F89" s="217">
        <f t="shared" si="10"/>
        <v>43985</v>
      </c>
      <c r="G89" s="218">
        <f>F89/B89*100</f>
        <v>802.792480379631</v>
      </c>
      <c r="H89" s="224"/>
      <c r="I89" s="217">
        <f t="shared" si="11"/>
        <v>0</v>
      </c>
      <c r="J89" s="218"/>
      <c r="K89" s="219"/>
      <c r="L89" s="233"/>
    </row>
    <row r="90" ht="21" customHeight="1" spans="1:12">
      <c r="A90" s="226" t="s">
        <v>1284</v>
      </c>
      <c r="B90" s="224"/>
      <c r="C90" s="224"/>
      <c r="D90" s="224">
        <v>6883</v>
      </c>
      <c r="E90" s="218"/>
      <c r="F90" s="217">
        <f t="shared" si="10"/>
        <v>6883</v>
      </c>
      <c r="G90" s="218"/>
      <c r="H90" s="224"/>
      <c r="I90" s="217">
        <f t="shared" si="11"/>
        <v>0</v>
      </c>
      <c r="J90" s="218"/>
      <c r="K90" s="219"/>
      <c r="L90" s="233"/>
    </row>
    <row r="91" ht="21" customHeight="1" spans="1:12">
      <c r="A91" s="226" t="s">
        <v>1275</v>
      </c>
      <c r="B91" s="224"/>
      <c r="C91" s="224"/>
      <c r="D91" s="224"/>
      <c r="E91" s="218"/>
      <c r="F91" s="217">
        <f t="shared" si="10"/>
        <v>0</v>
      </c>
      <c r="G91" s="218"/>
      <c r="H91" s="224"/>
      <c r="I91" s="217">
        <f t="shared" si="11"/>
        <v>0</v>
      </c>
      <c r="J91" s="218"/>
      <c r="K91" s="219"/>
      <c r="L91" s="233"/>
    </row>
    <row r="92" ht="21" customHeight="1" spans="1:12">
      <c r="A92" s="226" t="s">
        <v>1288</v>
      </c>
      <c r="B92" s="224"/>
      <c r="C92" s="224"/>
      <c r="D92" s="224"/>
      <c r="E92" s="218"/>
      <c r="F92" s="217">
        <f t="shared" si="10"/>
        <v>0</v>
      </c>
      <c r="G92" s="218"/>
      <c r="H92" s="224"/>
      <c r="I92" s="217">
        <f t="shared" si="11"/>
        <v>0</v>
      </c>
      <c r="J92" s="218"/>
      <c r="K92" s="219"/>
      <c r="L92" s="233"/>
    </row>
    <row r="93" ht="21" customHeight="1" spans="1:12">
      <c r="A93" s="226" t="s">
        <v>1276</v>
      </c>
      <c r="B93" s="224"/>
      <c r="C93" s="224"/>
      <c r="D93" s="224"/>
      <c r="E93" s="218"/>
      <c r="F93" s="217">
        <f t="shared" si="10"/>
        <v>0</v>
      </c>
      <c r="G93" s="218"/>
      <c r="H93" s="224"/>
      <c r="I93" s="217">
        <f t="shared" si="11"/>
        <v>0</v>
      </c>
      <c r="J93" s="218"/>
      <c r="K93" s="219"/>
      <c r="L93" s="233"/>
    </row>
    <row r="94" ht="21" customHeight="1" spans="1:12">
      <c r="A94" s="226" t="s">
        <v>1321</v>
      </c>
      <c r="B94" s="224">
        <v>16247.059695</v>
      </c>
      <c r="C94" s="224"/>
      <c r="D94" s="224">
        <v>42545</v>
      </c>
      <c r="E94" s="218"/>
      <c r="F94" s="217">
        <f t="shared" si="10"/>
        <v>26297.940305</v>
      </c>
      <c r="G94" s="218">
        <f>F94/B94*100</f>
        <v>161.862766547803</v>
      </c>
      <c r="H94" s="224"/>
      <c r="I94" s="217">
        <f t="shared" si="11"/>
        <v>0</v>
      </c>
      <c r="J94" s="218"/>
      <c r="K94" s="219"/>
      <c r="L94" s="233"/>
    </row>
    <row r="95" ht="21" customHeight="1" spans="1:12">
      <c r="A95" s="216" t="s">
        <v>1322</v>
      </c>
      <c r="B95" s="180">
        <f>B96+B101++B106+B110</f>
        <v>316.68</v>
      </c>
      <c r="C95" s="180">
        <f t="shared" ref="C95:H95" si="14">C96+C101++C106+C110</f>
        <v>0</v>
      </c>
      <c r="D95" s="180">
        <f t="shared" si="14"/>
        <v>469</v>
      </c>
      <c r="E95" s="218"/>
      <c r="F95" s="217">
        <f t="shared" si="10"/>
        <v>152.32</v>
      </c>
      <c r="G95" s="218">
        <f>F95/B95*100</f>
        <v>48.0990274093722</v>
      </c>
      <c r="H95" s="180">
        <f t="shared" si="14"/>
        <v>0</v>
      </c>
      <c r="I95" s="217">
        <f t="shared" si="11"/>
        <v>0</v>
      </c>
      <c r="J95" s="218"/>
      <c r="K95" s="180">
        <f>K96+K101+K110</f>
        <v>0</v>
      </c>
      <c r="L95" s="233"/>
    </row>
    <row r="96" ht="21" customHeight="1" spans="1:12">
      <c r="A96" s="237" t="s">
        <v>1323</v>
      </c>
      <c r="B96" s="222"/>
      <c r="C96" s="222"/>
      <c r="D96" s="222"/>
      <c r="E96" s="218"/>
      <c r="F96" s="217">
        <f t="shared" si="10"/>
        <v>0</v>
      </c>
      <c r="G96" s="218"/>
      <c r="H96" s="222"/>
      <c r="I96" s="217">
        <f t="shared" si="11"/>
        <v>0</v>
      </c>
      <c r="J96" s="218"/>
      <c r="K96" s="219"/>
      <c r="L96" s="233"/>
    </row>
    <row r="97" ht="21" customHeight="1" spans="1:12">
      <c r="A97" s="238" t="s">
        <v>1268</v>
      </c>
      <c r="B97" s="222"/>
      <c r="C97" s="222"/>
      <c r="D97" s="222"/>
      <c r="E97" s="218"/>
      <c r="F97" s="217">
        <f t="shared" si="10"/>
        <v>0</v>
      </c>
      <c r="G97" s="218"/>
      <c r="H97" s="222"/>
      <c r="I97" s="217">
        <f t="shared" si="11"/>
        <v>0</v>
      </c>
      <c r="J97" s="218"/>
      <c r="K97" s="219"/>
      <c r="L97" s="233"/>
    </row>
    <row r="98" ht="21" customHeight="1" spans="1:12">
      <c r="A98" s="238" t="s">
        <v>1324</v>
      </c>
      <c r="B98" s="222"/>
      <c r="C98" s="222"/>
      <c r="D98" s="222"/>
      <c r="E98" s="218"/>
      <c r="F98" s="217">
        <f t="shared" si="10"/>
        <v>0</v>
      </c>
      <c r="G98" s="218"/>
      <c r="H98" s="222"/>
      <c r="I98" s="217">
        <f t="shared" si="11"/>
        <v>0</v>
      </c>
      <c r="J98" s="218"/>
      <c r="K98" s="219"/>
      <c r="L98" s="233"/>
    </row>
    <row r="99" ht="21" customHeight="1" spans="1:12">
      <c r="A99" s="238" t="s">
        <v>1325</v>
      </c>
      <c r="B99" s="222"/>
      <c r="C99" s="222"/>
      <c r="D99" s="222"/>
      <c r="E99" s="218"/>
      <c r="F99" s="217">
        <f t="shared" si="10"/>
        <v>0</v>
      </c>
      <c r="G99" s="218"/>
      <c r="H99" s="222"/>
      <c r="I99" s="217">
        <f t="shared" si="11"/>
        <v>0</v>
      </c>
      <c r="J99" s="218"/>
      <c r="K99" s="219"/>
      <c r="L99" s="233"/>
    </row>
    <row r="100" ht="21" customHeight="1" spans="1:12">
      <c r="A100" s="238" t="s">
        <v>1326</v>
      </c>
      <c r="B100" s="222"/>
      <c r="C100" s="222"/>
      <c r="D100" s="222"/>
      <c r="E100" s="218"/>
      <c r="F100" s="217">
        <f t="shared" si="10"/>
        <v>0</v>
      </c>
      <c r="G100" s="218"/>
      <c r="H100" s="222"/>
      <c r="I100" s="217">
        <f t="shared" si="11"/>
        <v>0</v>
      </c>
      <c r="J100" s="218"/>
      <c r="K100" s="219"/>
      <c r="L100" s="233"/>
    </row>
    <row r="101" ht="21" customHeight="1" spans="1:12">
      <c r="A101" s="237" t="s">
        <v>1327</v>
      </c>
      <c r="B101" s="222"/>
      <c r="C101" s="222"/>
      <c r="D101" s="222"/>
      <c r="E101" s="218"/>
      <c r="F101" s="217">
        <f t="shared" si="10"/>
        <v>0</v>
      </c>
      <c r="G101" s="218"/>
      <c r="H101" s="222"/>
      <c r="I101" s="217">
        <f t="shared" si="11"/>
        <v>0</v>
      </c>
      <c r="J101" s="218"/>
      <c r="K101" s="219"/>
      <c r="L101" s="233"/>
    </row>
    <row r="102" ht="21" customHeight="1" spans="1:12">
      <c r="A102" s="239" t="s">
        <v>1328</v>
      </c>
      <c r="B102" s="222"/>
      <c r="C102" s="222"/>
      <c r="D102" s="222"/>
      <c r="E102" s="218"/>
      <c r="F102" s="217">
        <f t="shared" si="10"/>
        <v>0</v>
      </c>
      <c r="G102" s="218"/>
      <c r="H102" s="222"/>
      <c r="I102" s="217">
        <f t="shared" si="11"/>
        <v>0</v>
      </c>
      <c r="J102" s="218"/>
      <c r="K102" s="219"/>
      <c r="L102" s="233"/>
    </row>
    <row r="103" ht="21" customHeight="1" spans="1:12">
      <c r="A103" s="239" t="s">
        <v>1329</v>
      </c>
      <c r="B103" s="222"/>
      <c r="C103" s="222"/>
      <c r="D103" s="222"/>
      <c r="E103" s="218"/>
      <c r="F103" s="217">
        <f t="shared" ref="F103:F134" si="15">D103-B103</f>
        <v>0</v>
      </c>
      <c r="G103" s="218"/>
      <c r="H103" s="222"/>
      <c r="I103" s="217">
        <f t="shared" ref="I103:I134" si="16">H103-C103</f>
        <v>0</v>
      </c>
      <c r="J103" s="218"/>
      <c r="K103" s="219"/>
      <c r="L103" s="233"/>
    </row>
    <row r="104" ht="21" customHeight="1" spans="1:12">
      <c r="A104" s="239" t="s">
        <v>1330</v>
      </c>
      <c r="B104" s="222"/>
      <c r="C104" s="222"/>
      <c r="D104" s="222"/>
      <c r="E104" s="218"/>
      <c r="F104" s="217">
        <f t="shared" si="15"/>
        <v>0</v>
      </c>
      <c r="G104" s="218"/>
      <c r="H104" s="222"/>
      <c r="I104" s="217">
        <f t="shared" si="16"/>
        <v>0</v>
      </c>
      <c r="J104" s="218"/>
      <c r="K104" s="219"/>
      <c r="L104" s="233"/>
    </row>
    <row r="105" ht="21" customHeight="1" spans="1:12">
      <c r="A105" s="239" t="s">
        <v>1331</v>
      </c>
      <c r="B105" s="222"/>
      <c r="C105" s="222"/>
      <c r="D105" s="222"/>
      <c r="E105" s="218"/>
      <c r="F105" s="217">
        <f t="shared" si="15"/>
        <v>0</v>
      </c>
      <c r="G105" s="218"/>
      <c r="H105" s="222"/>
      <c r="I105" s="217">
        <f t="shared" si="16"/>
        <v>0</v>
      </c>
      <c r="J105" s="218"/>
      <c r="K105" s="219"/>
      <c r="L105" s="233"/>
    </row>
    <row r="106" ht="21" customHeight="1" spans="1:12">
      <c r="A106" s="237" t="s">
        <v>1266</v>
      </c>
      <c r="B106" s="222">
        <f>SUM(B107:B109)</f>
        <v>316.68</v>
      </c>
      <c r="C106" s="222">
        <f t="shared" ref="C106:H106" si="17">SUM(C107:C109)</f>
        <v>0</v>
      </c>
      <c r="D106" s="222">
        <f t="shared" si="17"/>
        <v>469</v>
      </c>
      <c r="E106" s="218"/>
      <c r="F106" s="217">
        <f t="shared" si="15"/>
        <v>152.32</v>
      </c>
      <c r="G106" s="218">
        <f>F106/B106*100</f>
        <v>48.0990274093722</v>
      </c>
      <c r="H106" s="222">
        <f t="shared" si="17"/>
        <v>0</v>
      </c>
      <c r="I106" s="217">
        <f t="shared" si="16"/>
        <v>0</v>
      </c>
      <c r="J106" s="218"/>
      <c r="K106" s="219"/>
      <c r="L106" s="233"/>
    </row>
    <row r="107" ht="21" customHeight="1" spans="1:12">
      <c r="A107" s="239" t="s">
        <v>1267</v>
      </c>
      <c r="B107" s="222">
        <v>286.68</v>
      </c>
      <c r="C107" s="222"/>
      <c r="D107" s="222">
        <v>469</v>
      </c>
      <c r="E107" s="218"/>
      <c r="F107" s="217">
        <f t="shared" si="15"/>
        <v>182.32</v>
      </c>
      <c r="G107" s="218">
        <f>F107/B107*100</f>
        <v>63.5970419980466</v>
      </c>
      <c r="H107" s="222"/>
      <c r="I107" s="217">
        <f t="shared" si="16"/>
        <v>0</v>
      </c>
      <c r="J107" s="218"/>
      <c r="K107" s="219"/>
      <c r="L107" s="233"/>
    </row>
    <row r="108" ht="21" customHeight="1" spans="1:12">
      <c r="A108" s="239" t="s">
        <v>1268</v>
      </c>
      <c r="B108" s="222">
        <v>30</v>
      </c>
      <c r="C108" s="222"/>
      <c r="D108" s="222"/>
      <c r="E108" s="218"/>
      <c r="F108" s="217">
        <f t="shared" si="15"/>
        <v>-30</v>
      </c>
      <c r="G108" s="218">
        <f>F108/B108*100</f>
        <v>-100</v>
      </c>
      <c r="H108" s="222"/>
      <c r="I108" s="217">
        <f t="shared" si="16"/>
        <v>0</v>
      </c>
      <c r="J108" s="218"/>
      <c r="K108" s="219"/>
      <c r="L108" s="233"/>
    </row>
    <row r="109" ht="21" customHeight="1" spans="1:12">
      <c r="A109" s="239" t="s">
        <v>1269</v>
      </c>
      <c r="B109" s="222"/>
      <c r="C109" s="222"/>
      <c r="D109" s="222"/>
      <c r="E109" s="218"/>
      <c r="F109" s="217">
        <f t="shared" si="15"/>
        <v>0</v>
      </c>
      <c r="G109" s="218"/>
      <c r="H109" s="222"/>
      <c r="I109" s="217">
        <f t="shared" si="16"/>
        <v>0</v>
      </c>
      <c r="J109" s="218"/>
      <c r="K109" s="219"/>
      <c r="L109" s="233"/>
    </row>
    <row r="110" ht="21" customHeight="1" spans="1:12">
      <c r="A110" s="237" t="s">
        <v>1332</v>
      </c>
      <c r="B110" s="222"/>
      <c r="C110" s="222"/>
      <c r="D110" s="222"/>
      <c r="E110" s="218"/>
      <c r="F110" s="217">
        <f t="shared" si="15"/>
        <v>0</v>
      </c>
      <c r="G110" s="218"/>
      <c r="H110" s="222"/>
      <c r="I110" s="217">
        <f t="shared" si="16"/>
        <v>0</v>
      </c>
      <c r="J110" s="218"/>
      <c r="K110" s="219"/>
      <c r="L110" s="233"/>
    </row>
    <row r="111" ht="21" customHeight="1" spans="1:12">
      <c r="A111" s="239" t="s">
        <v>1333</v>
      </c>
      <c r="B111" s="222"/>
      <c r="C111" s="222"/>
      <c r="D111" s="222"/>
      <c r="E111" s="218"/>
      <c r="F111" s="217">
        <f t="shared" si="15"/>
        <v>0</v>
      </c>
      <c r="G111" s="218"/>
      <c r="H111" s="222"/>
      <c r="I111" s="217">
        <f t="shared" si="16"/>
        <v>0</v>
      </c>
      <c r="J111" s="218"/>
      <c r="K111" s="219"/>
      <c r="L111" s="233"/>
    </row>
    <row r="112" ht="21" customHeight="1" spans="1:12">
      <c r="A112" s="239" t="s">
        <v>1334</v>
      </c>
      <c r="B112" s="222"/>
      <c r="C112" s="222"/>
      <c r="D112" s="222"/>
      <c r="E112" s="218"/>
      <c r="F112" s="217">
        <f t="shared" si="15"/>
        <v>0</v>
      </c>
      <c r="G112" s="218"/>
      <c r="H112" s="222"/>
      <c r="I112" s="217">
        <f t="shared" si="16"/>
        <v>0</v>
      </c>
      <c r="J112" s="218"/>
      <c r="K112" s="219"/>
      <c r="L112" s="233"/>
    </row>
    <row r="113" ht="21" customHeight="1" spans="1:12">
      <c r="A113" s="239" t="s">
        <v>1335</v>
      </c>
      <c r="B113" s="222"/>
      <c r="C113" s="222"/>
      <c r="D113" s="222"/>
      <c r="E113" s="218"/>
      <c r="F113" s="217">
        <f t="shared" si="15"/>
        <v>0</v>
      </c>
      <c r="G113" s="218"/>
      <c r="H113" s="222"/>
      <c r="I113" s="217">
        <f t="shared" si="16"/>
        <v>0</v>
      </c>
      <c r="J113" s="218"/>
      <c r="K113" s="219"/>
      <c r="L113" s="233"/>
    </row>
    <row r="114" ht="21" customHeight="1" spans="1:12">
      <c r="A114" s="216" t="s">
        <v>1336</v>
      </c>
      <c r="B114" s="180"/>
      <c r="C114" s="180"/>
      <c r="D114" s="180"/>
      <c r="E114" s="218"/>
      <c r="F114" s="217">
        <f t="shared" si="15"/>
        <v>0</v>
      </c>
      <c r="G114" s="218"/>
      <c r="H114" s="180"/>
      <c r="I114" s="217">
        <f t="shared" si="16"/>
        <v>0</v>
      </c>
      <c r="J114" s="218"/>
      <c r="K114" s="219"/>
      <c r="L114" s="233"/>
    </row>
    <row r="115" ht="21" customHeight="1" spans="1:12">
      <c r="A115" s="240" t="s">
        <v>1337</v>
      </c>
      <c r="B115" s="189"/>
      <c r="C115" s="189"/>
      <c r="D115" s="189"/>
      <c r="E115" s="218"/>
      <c r="F115" s="217">
        <f t="shared" si="15"/>
        <v>0</v>
      </c>
      <c r="G115" s="218"/>
      <c r="H115" s="189"/>
      <c r="I115" s="217">
        <f t="shared" si="16"/>
        <v>0</v>
      </c>
      <c r="J115" s="218"/>
      <c r="K115" s="219"/>
      <c r="L115" s="233"/>
    </row>
    <row r="116" ht="21" customHeight="1" spans="1:12">
      <c r="A116" s="226" t="s">
        <v>1338</v>
      </c>
      <c r="B116" s="219"/>
      <c r="C116" s="219"/>
      <c r="D116" s="219"/>
      <c r="E116" s="218"/>
      <c r="F116" s="217">
        <f t="shared" si="15"/>
        <v>0</v>
      </c>
      <c r="G116" s="218"/>
      <c r="H116" s="219"/>
      <c r="I116" s="217">
        <f t="shared" si="16"/>
        <v>0</v>
      </c>
      <c r="J116" s="218"/>
      <c r="K116" s="219"/>
      <c r="L116" s="233"/>
    </row>
    <row r="117" ht="21" customHeight="1" spans="1:12">
      <c r="A117" s="226" t="s">
        <v>1339</v>
      </c>
      <c r="B117" s="219"/>
      <c r="C117" s="219"/>
      <c r="D117" s="219"/>
      <c r="E117" s="218"/>
      <c r="F117" s="217">
        <f t="shared" si="15"/>
        <v>0</v>
      </c>
      <c r="G117" s="218"/>
      <c r="H117" s="219"/>
      <c r="I117" s="217">
        <f t="shared" si="16"/>
        <v>0</v>
      </c>
      <c r="J117" s="218"/>
      <c r="K117" s="219"/>
      <c r="L117" s="233"/>
    </row>
    <row r="118" ht="21" customHeight="1" spans="1:12">
      <c r="A118" s="226" t="s">
        <v>1340</v>
      </c>
      <c r="B118" s="219"/>
      <c r="C118" s="219"/>
      <c r="D118" s="219"/>
      <c r="E118" s="218"/>
      <c r="F118" s="217">
        <f t="shared" si="15"/>
        <v>0</v>
      </c>
      <c r="G118" s="218"/>
      <c r="H118" s="219"/>
      <c r="I118" s="217">
        <f t="shared" si="16"/>
        <v>0</v>
      </c>
      <c r="J118" s="218"/>
      <c r="K118" s="219"/>
      <c r="L118" s="233"/>
    </row>
    <row r="119" ht="21" customHeight="1" spans="1:12">
      <c r="A119" s="226" t="s">
        <v>1341</v>
      </c>
      <c r="B119" s="219"/>
      <c r="C119" s="219"/>
      <c r="D119" s="219"/>
      <c r="E119" s="218"/>
      <c r="F119" s="217">
        <f t="shared" si="15"/>
        <v>0</v>
      </c>
      <c r="G119" s="218"/>
      <c r="H119" s="219"/>
      <c r="I119" s="217">
        <f t="shared" si="16"/>
        <v>0</v>
      </c>
      <c r="J119" s="218"/>
      <c r="K119" s="219"/>
      <c r="L119" s="233"/>
    </row>
    <row r="120" ht="21" customHeight="1" spans="1:12">
      <c r="A120" s="241" t="s">
        <v>1342</v>
      </c>
      <c r="B120" s="219"/>
      <c r="C120" s="219"/>
      <c r="D120" s="219"/>
      <c r="E120" s="218"/>
      <c r="F120" s="217">
        <f t="shared" si="15"/>
        <v>0</v>
      </c>
      <c r="G120" s="218"/>
      <c r="H120" s="219"/>
      <c r="I120" s="217">
        <f t="shared" si="16"/>
        <v>0</v>
      </c>
      <c r="J120" s="218"/>
      <c r="K120" s="219"/>
      <c r="L120" s="233"/>
    </row>
    <row r="121" ht="21" customHeight="1" spans="1:12">
      <c r="A121" s="216" t="s">
        <v>1343</v>
      </c>
      <c r="B121" s="180">
        <f>B122+B129+B135</f>
        <v>50</v>
      </c>
      <c r="C121" s="180">
        <f t="shared" ref="C121:H121" si="18">C122+C129+C135</f>
        <v>0</v>
      </c>
      <c r="D121" s="180">
        <f t="shared" si="18"/>
        <v>1289</v>
      </c>
      <c r="E121" s="218"/>
      <c r="F121" s="217">
        <f t="shared" si="15"/>
        <v>1239</v>
      </c>
      <c r="G121" s="218">
        <f>F121/B121*100</f>
        <v>2478</v>
      </c>
      <c r="H121" s="180">
        <f t="shared" si="18"/>
        <v>0</v>
      </c>
      <c r="I121" s="217">
        <f t="shared" si="16"/>
        <v>0</v>
      </c>
      <c r="J121" s="218"/>
      <c r="K121" s="180">
        <f>K122+K129+K135</f>
        <v>0</v>
      </c>
      <c r="L121" s="233"/>
    </row>
    <row r="122" ht="21" customHeight="1" spans="1:12">
      <c r="A122" s="240" t="s">
        <v>1344</v>
      </c>
      <c r="B122" s="189"/>
      <c r="C122" s="189"/>
      <c r="D122" s="189"/>
      <c r="E122" s="218"/>
      <c r="F122" s="217">
        <f t="shared" si="15"/>
        <v>0</v>
      </c>
      <c r="G122" s="218"/>
      <c r="H122" s="189"/>
      <c r="I122" s="217">
        <f t="shared" si="16"/>
        <v>0</v>
      </c>
      <c r="J122" s="218"/>
      <c r="K122" s="219"/>
      <c r="L122" s="233"/>
    </row>
    <row r="123" ht="21" customHeight="1" spans="1:12">
      <c r="A123" s="226" t="s">
        <v>1345</v>
      </c>
      <c r="B123" s="189"/>
      <c r="C123" s="189"/>
      <c r="D123" s="189"/>
      <c r="E123" s="218"/>
      <c r="F123" s="217">
        <f t="shared" si="15"/>
        <v>0</v>
      </c>
      <c r="G123" s="218"/>
      <c r="H123" s="189"/>
      <c r="I123" s="217">
        <f t="shared" si="16"/>
        <v>0</v>
      </c>
      <c r="J123" s="218"/>
      <c r="K123" s="219"/>
      <c r="L123" s="233"/>
    </row>
    <row r="124" ht="21" customHeight="1" spans="1:12">
      <c r="A124" s="226" t="s">
        <v>1346</v>
      </c>
      <c r="B124" s="189"/>
      <c r="C124" s="189"/>
      <c r="D124" s="189"/>
      <c r="E124" s="218"/>
      <c r="F124" s="217">
        <f t="shared" si="15"/>
        <v>0</v>
      </c>
      <c r="G124" s="218"/>
      <c r="H124" s="189"/>
      <c r="I124" s="217">
        <f t="shared" si="16"/>
        <v>0</v>
      </c>
      <c r="J124" s="218"/>
      <c r="K124" s="219"/>
      <c r="L124" s="233"/>
    </row>
    <row r="125" ht="21" customHeight="1" spans="1:12">
      <c r="A125" s="226" t="s">
        <v>1347</v>
      </c>
      <c r="B125" s="189"/>
      <c r="C125" s="189"/>
      <c r="D125" s="189"/>
      <c r="E125" s="218"/>
      <c r="F125" s="217">
        <f t="shared" si="15"/>
        <v>0</v>
      </c>
      <c r="G125" s="218"/>
      <c r="H125" s="189"/>
      <c r="I125" s="217">
        <f t="shared" si="16"/>
        <v>0</v>
      </c>
      <c r="J125" s="218"/>
      <c r="K125" s="219"/>
      <c r="L125" s="233"/>
    </row>
    <row r="126" ht="21" customHeight="1" spans="1:12">
      <c r="A126" s="226" t="s">
        <v>1348</v>
      </c>
      <c r="B126" s="189"/>
      <c r="C126" s="189"/>
      <c r="D126" s="189"/>
      <c r="E126" s="218"/>
      <c r="F126" s="217">
        <f t="shared" si="15"/>
        <v>0</v>
      </c>
      <c r="G126" s="218"/>
      <c r="H126" s="189"/>
      <c r="I126" s="217">
        <f t="shared" si="16"/>
        <v>0</v>
      </c>
      <c r="J126" s="218"/>
      <c r="K126" s="219"/>
      <c r="L126" s="233"/>
    </row>
    <row r="127" ht="21" customHeight="1" spans="1:12">
      <c r="A127" s="226" t="s">
        <v>1349</v>
      </c>
      <c r="B127" s="189"/>
      <c r="C127" s="189"/>
      <c r="D127" s="189"/>
      <c r="E127" s="218"/>
      <c r="F127" s="217">
        <f t="shared" si="15"/>
        <v>0</v>
      </c>
      <c r="G127" s="218"/>
      <c r="H127" s="189"/>
      <c r="I127" s="217">
        <f t="shared" si="16"/>
        <v>0</v>
      </c>
      <c r="J127" s="218"/>
      <c r="K127" s="219"/>
      <c r="L127" s="233"/>
    </row>
    <row r="128" ht="21" customHeight="1" spans="1:12">
      <c r="A128" s="226" t="s">
        <v>1350</v>
      </c>
      <c r="B128" s="189"/>
      <c r="C128" s="189"/>
      <c r="D128" s="189"/>
      <c r="E128" s="218"/>
      <c r="F128" s="217">
        <f t="shared" si="15"/>
        <v>0</v>
      </c>
      <c r="G128" s="218"/>
      <c r="H128" s="189"/>
      <c r="I128" s="217">
        <f t="shared" si="16"/>
        <v>0</v>
      </c>
      <c r="J128" s="218"/>
      <c r="K128" s="219"/>
      <c r="L128" s="233"/>
    </row>
    <row r="129" ht="21" customHeight="1" spans="1:12">
      <c r="A129" s="240" t="s">
        <v>1351</v>
      </c>
      <c r="B129" s="189"/>
      <c r="C129" s="189"/>
      <c r="D129" s="189"/>
      <c r="E129" s="218"/>
      <c r="F129" s="217">
        <f t="shared" si="15"/>
        <v>0</v>
      </c>
      <c r="G129" s="218"/>
      <c r="H129" s="189"/>
      <c r="I129" s="217">
        <f t="shared" si="16"/>
        <v>0</v>
      </c>
      <c r="J129" s="218"/>
      <c r="K129" s="219"/>
      <c r="L129" s="233"/>
    </row>
    <row r="130" ht="21" customHeight="1" spans="1:12">
      <c r="A130" s="226" t="s">
        <v>1352</v>
      </c>
      <c r="B130" s="189"/>
      <c r="C130" s="189"/>
      <c r="D130" s="189"/>
      <c r="E130" s="218"/>
      <c r="F130" s="217">
        <f t="shared" si="15"/>
        <v>0</v>
      </c>
      <c r="G130" s="218"/>
      <c r="H130" s="189"/>
      <c r="I130" s="217">
        <f t="shared" si="16"/>
        <v>0</v>
      </c>
      <c r="J130" s="218"/>
      <c r="K130" s="219"/>
      <c r="L130" s="233"/>
    </row>
    <row r="131" ht="21" customHeight="1" spans="1:12">
      <c r="A131" s="226" t="s">
        <v>1353</v>
      </c>
      <c r="B131" s="189"/>
      <c r="C131" s="189"/>
      <c r="D131" s="189"/>
      <c r="E131" s="218"/>
      <c r="F131" s="217">
        <f t="shared" si="15"/>
        <v>0</v>
      </c>
      <c r="G131" s="218"/>
      <c r="H131" s="189"/>
      <c r="I131" s="217">
        <f t="shared" si="16"/>
        <v>0</v>
      </c>
      <c r="J131" s="218"/>
      <c r="K131" s="219"/>
      <c r="L131" s="233"/>
    </row>
    <row r="132" ht="21" customHeight="1" spans="1:12">
      <c r="A132" s="226" t="s">
        <v>1354</v>
      </c>
      <c r="B132" s="189"/>
      <c r="C132" s="189"/>
      <c r="D132" s="189"/>
      <c r="E132" s="218"/>
      <c r="F132" s="217">
        <f t="shared" si="15"/>
        <v>0</v>
      </c>
      <c r="G132" s="218"/>
      <c r="H132" s="189"/>
      <c r="I132" s="217">
        <f t="shared" si="16"/>
        <v>0</v>
      </c>
      <c r="J132" s="218"/>
      <c r="K132" s="219"/>
      <c r="L132" s="233"/>
    </row>
    <row r="133" ht="21" customHeight="1" spans="1:12">
      <c r="A133" s="226" t="s">
        <v>1355</v>
      </c>
      <c r="B133" s="189"/>
      <c r="C133" s="189"/>
      <c r="D133" s="189"/>
      <c r="E133" s="218"/>
      <c r="F133" s="217">
        <f t="shared" si="15"/>
        <v>0</v>
      </c>
      <c r="G133" s="218"/>
      <c r="H133" s="189"/>
      <c r="I133" s="217">
        <f t="shared" si="16"/>
        <v>0</v>
      </c>
      <c r="J133" s="218"/>
      <c r="K133" s="219"/>
      <c r="L133" s="233"/>
    </row>
    <row r="134" ht="21" customHeight="1" spans="1:12">
      <c r="A134" s="226" t="s">
        <v>1356</v>
      </c>
      <c r="B134" s="189"/>
      <c r="C134" s="189"/>
      <c r="D134" s="189"/>
      <c r="E134" s="218"/>
      <c r="F134" s="217">
        <f t="shared" si="15"/>
        <v>0</v>
      </c>
      <c r="G134" s="218"/>
      <c r="H134" s="189"/>
      <c r="I134" s="217">
        <f t="shared" si="16"/>
        <v>0</v>
      </c>
      <c r="J134" s="218"/>
      <c r="K134" s="219"/>
      <c r="L134" s="233"/>
    </row>
    <row r="135" ht="21" customHeight="1" spans="1:12">
      <c r="A135" s="240" t="s">
        <v>1357</v>
      </c>
      <c r="B135" s="189">
        <f>SUM(B136:B139)</f>
        <v>50</v>
      </c>
      <c r="C135" s="189">
        <f t="shared" ref="C135:H135" si="19">SUM(C136:C139)</f>
        <v>0</v>
      </c>
      <c r="D135" s="189">
        <f t="shared" si="19"/>
        <v>1289</v>
      </c>
      <c r="E135" s="218"/>
      <c r="F135" s="217">
        <f t="shared" ref="F135:F173" si="20">D135-B135</f>
        <v>1239</v>
      </c>
      <c r="G135" s="218">
        <f>F135/B135*100</f>
        <v>2478</v>
      </c>
      <c r="H135" s="189">
        <f t="shared" si="19"/>
        <v>0</v>
      </c>
      <c r="I135" s="217">
        <f t="shared" ref="I135:I173" si="21">H135-C135</f>
        <v>0</v>
      </c>
      <c r="J135" s="218"/>
      <c r="K135" s="189">
        <f>SUM(K136:K139)</f>
        <v>0</v>
      </c>
      <c r="L135" s="233"/>
    </row>
    <row r="136" ht="21" customHeight="1" spans="1:12">
      <c r="A136" s="226" t="s">
        <v>885</v>
      </c>
      <c r="B136" s="189"/>
      <c r="C136" s="189"/>
      <c r="D136" s="189">
        <v>1289</v>
      </c>
      <c r="E136" s="218"/>
      <c r="F136" s="217">
        <f t="shared" si="20"/>
        <v>1289</v>
      </c>
      <c r="G136" s="218"/>
      <c r="H136" s="189"/>
      <c r="I136" s="217">
        <f t="shared" si="21"/>
        <v>0</v>
      </c>
      <c r="J136" s="218"/>
      <c r="K136" s="219"/>
      <c r="L136" s="233"/>
    </row>
    <row r="137" ht="21" customHeight="1" spans="1:12">
      <c r="A137" s="226" t="s">
        <v>892</v>
      </c>
      <c r="B137" s="189">
        <v>50</v>
      </c>
      <c r="C137" s="189"/>
      <c r="D137" s="189"/>
      <c r="E137" s="218"/>
      <c r="F137" s="217">
        <f t="shared" si="20"/>
        <v>-50</v>
      </c>
      <c r="G137" s="218">
        <f>F137/B137*100</f>
        <v>-100</v>
      </c>
      <c r="H137" s="189"/>
      <c r="I137" s="217">
        <f t="shared" si="21"/>
        <v>0</v>
      </c>
      <c r="J137" s="218"/>
      <c r="K137" s="219"/>
      <c r="L137" s="233"/>
    </row>
    <row r="138" ht="21" customHeight="1" spans="1:12">
      <c r="A138" s="226" t="s">
        <v>1358</v>
      </c>
      <c r="B138" s="189"/>
      <c r="C138" s="189"/>
      <c r="D138" s="189"/>
      <c r="E138" s="218"/>
      <c r="F138" s="217">
        <f t="shared" si="20"/>
        <v>0</v>
      </c>
      <c r="G138" s="218"/>
      <c r="H138" s="189"/>
      <c r="I138" s="217">
        <f t="shared" si="21"/>
        <v>0</v>
      </c>
      <c r="J138" s="218"/>
      <c r="K138" s="219"/>
      <c r="L138" s="233"/>
    </row>
    <row r="139" ht="21" customHeight="1" spans="1:12">
      <c r="A139" s="226" t="s">
        <v>921</v>
      </c>
      <c r="B139" s="189"/>
      <c r="C139" s="189"/>
      <c r="D139" s="189"/>
      <c r="E139" s="218"/>
      <c r="F139" s="217">
        <f t="shared" si="20"/>
        <v>0</v>
      </c>
      <c r="G139" s="218"/>
      <c r="H139" s="189"/>
      <c r="I139" s="217">
        <f t="shared" si="21"/>
        <v>0</v>
      </c>
      <c r="J139" s="218"/>
      <c r="K139" s="219"/>
      <c r="L139" s="233"/>
    </row>
    <row r="140" ht="21" customHeight="1" spans="1:12">
      <c r="A140" s="242" t="s">
        <v>1359</v>
      </c>
      <c r="B140" s="217"/>
      <c r="C140" s="217"/>
      <c r="D140" s="217"/>
      <c r="E140" s="218"/>
      <c r="F140" s="217">
        <f t="shared" si="20"/>
        <v>0</v>
      </c>
      <c r="G140" s="218"/>
      <c r="H140" s="217"/>
      <c r="I140" s="217">
        <f t="shared" si="21"/>
        <v>0</v>
      </c>
      <c r="J140" s="218"/>
      <c r="K140" s="219"/>
      <c r="L140" s="233"/>
    </row>
    <row r="141" ht="21" customHeight="1" spans="1:12">
      <c r="A141" s="240" t="s">
        <v>1360</v>
      </c>
      <c r="B141" s="180"/>
      <c r="C141" s="180"/>
      <c r="D141" s="180"/>
      <c r="E141" s="218"/>
      <c r="F141" s="217">
        <f t="shared" si="20"/>
        <v>0</v>
      </c>
      <c r="G141" s="218"/>
      <c r="H141" s="180"/>
      <c r="I141" s="217">
        <f t="shared" si="21"/>
        <v>0</v>
      </c>
      <c r="J141" s="218"/>
      <c r="K141" s="219"/>
      <c r="L141" s="233"/>
    </row>
    <row r="142" ht="21" customHeight="1" spans="1:12">
      <c r="A142" s="226" t="s">
        <v>1260</v>
      </c>
      <c r="B142" s="222"/>
      <c r="C142" s="222"/>
      <c r="D142" s="222"/>
      <c r="E142" s="218"/>
      <c r="F142" s="217">
        <f t="shared" si="20"/>
        <v>0</v>
      </c>
      <c r="G142" s="218"/>
      <c r="H142" s="222"/>
      <c r="I142" s="217">
        <f t="shared" si="21"/>
        <v>0</v>
      </c>
      <c r="J142" s="218"/>
      <c r="K142" s="219"/>
      <c r="L142" s="233"/>
    </row>
    <row r="143" ht="21" customHeight="1" spans="1:12">
      <c r="A143" s="226" t="s">
        <v>1261</v>
      </c>
      <c r="B143" s="222"/>
      <c r="C143" s="222"/>
      <c r="D143" s="222"/>
      <c r="E143" s="218"/>
      <c r="F143" s="217">
        <f t="shared" si="20"/>
        <v>0</v>
      </c>
      <c r="G143" s="218"/>
      <c r="H143" s="222"/>
      <c r="I143" s="217">
        <f t="shared" si="21"/>
        <v>0</v>
      </c>
      <c r="J143" s="218"/>
      <c r="K143" s="219"/>
      <c r="L143" s="233"/>
    </row>
    <row r="144" ht="21" customHeight="1" spans="1:12">
      <c r="A144" s="226" t="s">
        <v>1262</v>
      </c>
      <c r="B144" s="222"/>
      <c r="C144" s="222"/>
      <c r="D144" s="222"/>
      <c r="E144" s="218"/>
      <c r="F144" s="217">
        <f t="shared" si="20"/>
        <v>0</v>
      </c>
      <c r="G144" s="218"/>
      <c r="H144" s="222"/>
      <c r="I144" s="217">
        <f t="shared" si="21"/>
        <v>0</v>
      </c>
      <c r="J144" s="218"/>
      <c r="K144" s="219"/>
      <c r="L144" s="233"/>
    </row>
    <row r="145" ht="21" customHeight="1" spans="1:12">
      <c r="A145" s="226" t="s">
        <v>1263</v>
      </c>
      <c r="B145" s="222"/>
      <c r="C145" s="222"/>
      <c r="D145" s="222"/>
      <c r="E145" s="218"/>
      <c r="F145" s="217">
        <f t="shared" si="20"/>
        <v>0</v>
      </c>
      <c r="G145" s="218"/>
      <c r="H145" s="222"/>
      <c r="I145" s="217">
        <f t="shared" si="21"/>
        <v>0</v>
      </c>
      <c r="J145" s="218"/>
      <c r="K145" s="219"/>
      <c r="L145" s="233"/>
    </row>
    <row r="146" ht="21" customHeight="1" spans="1:12">
      <c r="A146" s="226" t="s">
        <v>1264</v>
      </c>
      <c r="B146" s="222"/>
      <c r="C146" s="222"/>
      <c r="D146" s="222"/>
      <c r="E146" s="218"/>
      <c r="F146" s="217">
        <f t="shared" si="20"/>
        <v>0</v>
      </c>
      <c r="G146" s="218"/>
      <c r="H146" s="222"/>
      <c r="I146" s="217">
        <f t="shared" si="21"/>
        <v>0</v>
      </c>
      <c r="J146" s="218"/>
      <c r="K146" s="219"/>
      <c r="L146" s="233"/>
    </row>
    <row r="147" ht="21" customHeight="1" spans="1:12">
      <c r="A147" s="216" t="s">
        <v>1361</v>
      </c>
      <c r="B147" s="180">
        <f>B148+B149</f>
        <v>44499.322176</v>
      </c>
      <c r="C147" s="180">
        <f t="shared" ref="C147:H147" si="22">C148+C149</f>
        <v>0</v>
      </c>
      <c r="D147" s="180">
        <f t="shared" si="22"/>
        <v>42554</v>
      </c>
      <c r="E147" s="218"/>
      <c r="F147" s="217">
        <f t="shared" si="20"/>
        <v>-1945.322176</v>
      </c>
      <c r="G147" s="218">
        <f t="shared" ref="G147:G152" si="23">F147/B147*100</f>
        <v>-4.37157709572749</v>
      </c>
      <c r="H147" s="180">
        <f t="shared" si="22"/>
        <v>0</v>
      </c>
      <c r="I147" s="217">
        <f t="shared" si="21"/>
        <v>0</v>
      </c>
      <c r="J147" s="218"/>
      <c r="K147" s="180">
        <f>K148+K149</f>
        <v>0</v>
      </c>
      <c r="L147" s="233"/>
    </row>
    <row r="148" ht="21" customHeight="1" spans="1:12">
      <c r="A148" s="240" t="s">
        <v>1362</v>
      </c>
      <c r="B148" s="224">
        <v>43734</v>
      </c>
      <c r="C148" s="224"/>
      <c r="D148" s="224">
        <v>41657</v>
      </c>
      <c r="E148" s="218"/>
      <c r="F148" s="217">
        <f t="shared" si="20"/>
        <v>-2077</v>
      </c>
      <c r="G148" s="218">
        <f t="shared" si="23"/>
        <v>-4.74916540906389</v>
      </c>
      <c r="H148" s="224"/>
      <c r="I148" s="217">
        <f t="shared" si="21"/>
        <v>0</v>
      </c>
      <c r="J148" s="218"/>
      <c r="K148" s="219"/>
      <c r="L148" s="233"/>
    </row>
    <row r="149" ht="21" customHeight="1" spans="1:12">
      <c r="A149" s="236" t="s">
        <v>1363</v>
      </c>
      <c r="B149" s="189">
        <f>SUM(B150:B159)</f>
        <v>765.322176</v>
      </c>
      <c r="C149" s="189">
        <f t="shared" ref="C149:H149" si="24">SUM(C150:C159)</f>
        <v>0</v>
      </c>
      <c r="D149" s="189">
        <f t="shared" si="24"/>
        <v>897</v>
      </c>
      <c r="E149" s="218"/>
      <c r="F149" s="217">
        <f t="shared" si="20"/>
        <v>131.677824</v>
      </c>
      <c r="G149" s="218">
        <f t="shared" si="23"/>
        <v>17.2055414215516</v>
      </c>
      <c r="H149" s="189">
        <f t="shared" si="24"/>
        <v>0</v>
      </c>
      <c r="I149" s="217">
        <f t="shared" si="21"/>
        <v>0</v>
      </c>
      <c r="J149" s="218"/>
      <c r="K149" s="189">
        <f>SUM(K150:K159)</f>
        <v>0</v>
      </c>
      <c r="L149" s="233"/>
    </row>
    <row r="150" ht="21" customHeight="1" spans="1:12">
      <c r="A150" s="229" t="s">
        <v>1364</v>
      </c>
      <c r="B150" s="189">
        <v>159.02038</v>
      </c>
      <c r="C150" s="189"/>
      <c r="D150" s="189">
        <v>159</v>
      </c>
      <c r="E150" s="218"/>
      <c r="F150" s="217">
        <f t="shared" si="20"/>
        <v>-0.0203799999999887</v>
      </c>
      <c r="G150" s="218">
        <f t="shared" si="23"/>
        <v>-0.0128159673621637</v>
      </c>
      <c r="H150" s="189"/>
      <c r="I150" s="217">
        <f t="shared" si="21"/>
        <v>0</v>
      </c>
      <c r="J150" s="218"/>
      <c r="K150" s="219"/>
      <c r="L150" s="233"/>
    </row>
    <row r="151" ht="21" customHeight="1" spans="1:12">
      <c r="A151" s="226" t="s">
        <v>1365</v>
      </c>
      <c r="B151" s="189">
        <v>5.07442</v>
      </c>
      <c r="C151" s="189"/>
      <c r="D151" s="189">
        <v>188</v>
      </c>
      <c r="E151" s="218"/>
      <c r="F151" s="217">
        <f t="shared" si="20"/>
        <v>182.92558</v>
      </c>
      <c r="G151" s="218">
        <f t="shared" si="23"/>
        <v>3604.8569097552</v>
      </c>
      <c r="H151" s="189"/>
      <c r="I151" s="217">
        <f t="shared" si="21"/>
        <v>0</v>
      </c>
      <c r="J151" s="218"/>
      <c r="K151" s="219"/>
      <c r="L151" s="233"/>
    </row>
    <row r="152" ht="21" customHeight="1" spans="1:12">
      <c r="A152" s="226" t="s">
        <v>1366</v>
      </c>
      <c r="B152" s="189">
        <v>210</v>
      </c>
      <c r="C152" s="189"/>
      <c r="D152" s="189">
        <v>227</v>
      </c>
      <c r="E152" s="218"/>
      <c r="F152" s="217">
        <f t="shared" si="20"/>
        <v>17</v>
      </c>
      <c r="G152" s="218">
        <f t="shared" si="23"/>
        <v>8.09523809523809</v>
      </c>
      <c r="H152" s="189"/>
      <c r="I152" s="217">
        <f t="shared" si="21"/>
        <v>0</v>
      </c>
      <c r="J152" s="218"/>
      <c r="K152" s="219"/>
      <c r="L152" s="233"/>
    </row>
    <row r="153" ht="21" customHeight="1" spans="1:12">
      <c r="A153" s="226" t="s">
        <v>1367</v>
      </c>
      <c r="B153" s="189"/>
      <c r="C153" s="189"/>
      <c r="D153" s="189"/>
      <c r="E153" s="218"/>
      <c r="F153" s="217">
        <f t="shared" si="20"/>
        <v>0</v>
      </c>
      <c r="G153" s="218"/>
      <c r="H153" s="189"/>
      <c r="I153" s="217">
        <f t="shared" si="21"/>
        <v>0</v>
      </c>
      <c r="J153" s="218"/>
      <c r="K153" s="219"/>
      <c r="L153" s="233"/>
    </row>
    <row r="154" ht="21" customHeight="1" spans="1:12">
      <c r="A154" s="226" t="s">
        <v>1368</v>
      </c>
      <c r="B154" s="189">
        <v>340.227376</v>
      </c>
      <c r="C154" s="189"/>
      <c r="D154" s="189">
        <v>210</v>
      </c>
      <c r="E154" s="218"/>
      <c r="F154" s="217">
        <f t="shared" si="20"/>
        <v>-130.227376</v>
      </c>
      <c r="G154" s="218">
        <f>F154/B154*100</f>
        <v>-38.2765718417674</v>
      </c>
      <c r="H154" s="189"/>
      <c r="I154" s="217">
        <f t="shared" si="21"/>
        <v>0</v>
      </c>
      <c r="J154" s="218"/>
      <c r="K154" s="219"/>
      <c r="L154" s="233"/>
    </row>
    <row r="155" ht="21" customHeight="1" spans="1:12">
      <c r="A155" s="226" t="s">
        <v>1369</v>
      </c>
      <c r="B155" s="189"/>
      <c r="C155" s="189"/>
      <c r="D155" s="189"/>
      <c r="E155" s="218"/>
      <c r="F155" s="217">
        <f t="shared" si="20"/>
        <v>0</v>
      </c>
      <c r="G155" s="218"/>
      <c r="H155" s="189"/>
      <c r="I155" s="217">
        <f t="shared" si="21"/>
        <v>0</v>
      </c>
      <c r="J155" s="218"/>
      <c r="K155" s="219"/>
      <c r="L155" s="233"/>
    </row>
    <row r="156" ht="21" customHeight="1" spans="1:12">
      <c r="A156" s="226" t="s">
        <v>1370</v>
      </c>
      <c r="B156" s="219"/>
      <c r="C156" s="219"/>
      <c r="D156" s="219"/>
      <c r="E156" s="218"/>
      <c r="F156" s="217">
        <f t="shared" si="20"/>
        <v>0</v>
      </c>
      <c r="G156" s="218"/>
      <c r="H156" s="219"/>
      <c r="I156" s="217">
        <f t="shared" si="21"/>
        <v>0</v>
      </c>
      <c r="J156" s="218"/>
      <c r="K156" s="219"/>
      <c r="L156" s="233"/>
    </row>
    <row r="157" ht="21" customHeight="1" spans="1:12">
      <c r="A157" s="226" t="s">
        <v>1371</v>
      </c>
      <c r="B157" s="219"/>
      <c r="C157" s="219"/>
      <c r="D157" s="219"/>
      <c r="E157" s="218"/>
      <c r="F157" s="217">
        <f t="shared" si="20"/>
        <v>0</v>
      </c>
      <c r="G157" s="218"/>
      <c r="H157" s="219"/>
      <c r="I157" s="217">
        <f t="shared" si="21"/>
        <v>0</v>
      </c>
      <c r="J157" s="218"/>
      <c r="K157" s="219"/>
      <c r="L157" s="233"/>
    </row>
    <row r="158" ht="21" customHeight="1" spans="1:12">
      <c r="A158" s="226" t="s">
        <v>1372</v>
      </c>
      <c r="B158" s="219"/>
      <c r="C158" s="219"/>
      <c r="D158" s="219"/>
      <c r="E158" s="218"/>
      <c r="F158" s="217">
        <f t="shared" si="20"/>
        <v>0</v>
      </c>
      <c r="G158" s="218"/>
      <c r="H158" s="219"/>
      <c r="I158" s="217">
        <f t="shared" si="21"/>
        <v>0</v>
      </c>
      <c r="J158" s="218"/>
      <c r="K158" s="219"/>
      <c r="L158" s="233"/>
    </row>
    <row r="159" ht="21" customHeight="1" spans="1:12">
      <c r="A159" s="226" t="s">
        <v>1373</v>
      </c>
      <c r="B159" s="219">
        <v>51</v>
      </c>
      <c r="C159" s="219"/>
      <c r="D159" s="219">
        <v>113</v>
      </c>
      <c r="E159" s="218"/>
      <c r="F159" s="217">
        <f t="shared" si="20"/>
        <v>62</v>
      </c>
      <c r="G159" s="218">
        <f>F159/B159*100</f>
        <v>121.56862745098</v>
      </c>
      <c r="H159" s="219"/>
      <c r="I159" s="217">
        <f t="shared" si="21"/>
        <v>0</v>
      </c>
      <c r="J159" s="218"/>
      <c r="K159" s="219"/>
      <c r="L159" s="233"/>
    </row>
    <row r="160" ht="21" customHeight="1" spans="1:12">
      <c r="A160" s="216" t="s">
        <v>1374</v>
      </c>
      <c r="B160" s="219">
        <f>B161</f>
        <v>4958.229697</v>
      </c>
      <c r="C160" s="219"/>
      <c r="D160" s="219">
        <f>D161</f>
        <v>2377</v>
      </c>
      <c r="E160" s="218"/>
      <c r="F160" s="217">
        <f t="shared" si="20"/>
        <v>-2581.229697</v>
      </c>
      <c r="G160" s="218">
        <f>F160/B160*100</f>
        <v>-52.059502175984</v>
      </c>
      <c r="H160" s="219">
        <v>6225.15</v>
      </c>
      <c r="I160" s="217">
        <f t="shared" si="21"/>
        <v>6225.15</v>
      </c>
      <c r="J160" s="218"/>
      <c r="K160" s="219"/>
      <c r="L160" s="233"/>
    </row>
    <row r="161" ht="21" customHeight="1" spans="1:12">
      <c r="A161" s="240" t="s">
        <v>1375</v>
      </c>
      <c r="B161" s="219">
        <v>4958.229697</v>
      </c>
      <c r="C161" s="219"/>
      <c r="D161" s="219">
        <v>2377</v>
      </c>
      <c r="E161" s="218"/>
      <c r="F161" s="217">
        <f t="shared" si="20"/>
        <v>-2581.229697</v>
      </c>
      <c r="G161" s="218">
        <f>F161/B161*100</f>
        <v>-52.059502175984</v>
      </c>
      <c r="H161" s="219">
        <v>6225.15</v>
      </c>
      <c r="I161" s="217">
        <f t="shared" si="21"/>
        <v>6225.15</v>
      </c>
      <c r="J161" s="218"/>
      <c r="K161" s="219"/>
      <c r="L161" s="233"/>
    </row>
    <row r="162" ht="21" customHeight="1" spans="1:12">
      <c r="A162" s="216" t="s">
        <v>1376</v>
      </c>
      <c r="B162" s="219">
        <f>B163</f>
        <v>97.881368</v>
      </c>
      <c r="C162" s="219"/>
      <c r="D162" s="219">
        <f>D163</f>
        <v>0</v>
      </c>
      <c r="E162" s="218"/>
      <c r="F162" s="217">
        <f t="shared" si="20"/>
        <v>-97.881368</v>
      </c>
      <c r="G162" s="218">
        <f>F162/B162*100</f>
        <v>-100</v>
      </c>
      <c r="H162" s="219"/>
      <c r="I162" s="217">
        <f t="shared" si="21"/>
        <v>0</v>
      </c>
      <c r="J162" s="218"/>
      <c r="K162" s="219"/>
      <c r="L162" s="233"/>
    </row>
    <row r="163" ht="21" customHeight="1" spans="1:12">
      <c r="A163" s="240" t="s">
        <v>1377</v>
      </c>
      <c r="B163" s="219">
        <v>97.881368</v>
      </c>
      <c r="C163" s="219"/>
      <c r="D163" s="219"/>
      <c r="E163" s="218"/>
      <c r="F163" s="217">
        <f t="shared" si="20"/>
        <v>-97.881368</v>
      </c>
      <c r="G163" s="218">
        <f>F163/B163*100</f>
        <v>-100</v>
      </c>
      <c r="H163" s="219"/>
      <c r="I163" s="217">
        <f t="shared" si="21"/>
        <v>0</v>
      </c>
      <c r="J163" s="218"/>
      <c r="K163" s="219"/>
      <c r="L163" s="233"/>
    </row>
    <row r="164" ht="21" customHeight="1" spans="1:12">
      <c r="A164" s="216" t="s">
        <v>1378</v>
      </c>
      <c r="B164" s="219"/>
      <c r="C164" s="219"/>
      <c r="D164" s="219"/>
      <c r="E164" s="218"/>
      <c r="F164" s="217">
        <f t="shared" si="20"/>
        <v>0</v>
      </c>
      <c r="G164" s="218"/>
      <c r="H164" s="219"/>
      <c r="I164" s="217">
        <f t="shared" si="21"/>
        <v>0</v>
      </c>
      <c r="J164" s="218"/>
      <c r="K164" s="219"/>
      <c r="L164" s="233"/>
    </row>
    <row r="165" ht="21" customHeight="1" spans="1:12">
      <c r="A165" s="243" t="s">
        <v>1379</v>
      </c>
      <c r="B165" s="219"/>
      <c r="C165" s="219"/>
      <c r="D165" s="219"/>
      <c r="E165" s="218"/>
      <c r="F165" s="217">
        <f t="shared" si="20"/>
        <v>0</v>
      </c>
      <c r="G165" s="218"/>
      <c r="H165" s="219"/>
      <c r="I165" s="217">
        <f t="shared" si="21"/>
        <v>0</v>
      </c>
      <c r="J165" s="218"/>
      <c r="K165" s="219"/>
      <c r="L165" s="233"/>
    </row>
    <row r="166" s="3" customFormat="1" ht="21" customHeight="1" spans="1:12">
      <c r="A166" s="244" t="s">
        <v>1380</v>
      </c>
      <c r="B166" s="245">
        <f>B6+B18+B27+B95+B114+B121+B140+B147+B160+B162+B164+B165</f>
        <v>89127.08881</v>
      </c>
      <c r="C166" s="245">
        <f t="shared" ref="C166:H166" si="25">C6+C18+C27+C95+C114+C121+C140+C147+C160+C162+C164+C165</f>
        <v>25976.3229</v>
      </c>
      <c r="D166" s="245">
        <f t="shared" si="25"/>
        <v>176045</v>
      </c>
      <c r="E166" s="246">
        <f>D166/C166*100</f>
        <v>677.713318693001</v>
      </c>
      <c r="F166" s="247">
        <f t="shared" si="20"/>
        <v>86917.91119</v>
      </c>
      <c r="G166" s="246">
        <f>F166/B166*100</f>
        <v>97.5213174249307</v>
      </c>
      <c r="H166" s="245">
        <f t="shared" si="25"/>
        <v>22652.74</v>
      </c>
      <c r="I166" s="247">
        <f t="shared" si="21"/>
        <v>-3323.5829</v>
      </c>
      <c r="J166" s="246">
        <f>I166/C166*100</f>
        <v>-12.7946627118652</v>
      </c>
      <c r="K166" s="248"/>
      <c r="L166" s="249"/>
    </row>
    <row r="167" s="3" customFormat="1" ht="21" customHeight="1" spans="1:12">
      <c r="A167" s="183" t="s">
        <v>1082</v>
      </c>
      <c r="B167" s="184">
        <f>SUM(B168:B172)</f>
        <v>75534</v>
      </c>
      <c r="C167" s="184">
        <f t="shared" ref="C167:H167" si="26">SUM(C168:C172)</f>
        <v>65500</v>
      </c>
      <c r="D167" s="184">
        <f t="shared" si="26"/>
        <v>116969</v>
      </c>
      <c r="E167" s="246">
        <f>D167/C167*100</f>
        <v>178.578625954198</v>
      </c>
      <c r="F167" s="247">
        <f t="shared" si="20"/>
        <v>41435</v>
      </c>
      <c r="G167" s="246">
        <f>F167/B167*100</f>
        <v>54.8560912966346</v>
      </c>
      <c r="H167" s="184">
        <f t="shared" si="26"/>
        <v>58124</v>
      </c>
      <c r="I167" s="247">
        <f t="shared" si="21"/>
        <v>-7376</v>
      </c>
      <c r="J167" s="246">
        <f>I167/C167*100</f>
        <v>-11.2610687022901</v>
      </c>
      <c r="K167" s="250">
        <f>SUM(K168:K172)</f>
        <v>0</v>
      </c>
      <c r="L167" s="249"/>
    </row>
    <row r="168" ht="21" customHeight="1" spans="1:12">
      <c r="A168" s="186" t="s">
        <v>1083</v>
      </c>
      <c r="B168" s="217"/>
      <c r="C168" s="217"/>
      <c r="D168" s="187"/>
      <c r="E168" s="218"/>
      <c r="F168" s="217">
        <f t="shared" si="20"/>
        <v>0</v>
      </c>
      <c r="G168" s="218"/>
      <c r="H168" s="217"/>
      <c r="I168" s="217">
        <f t="shared" si="21"/>
        <v>0</v>
      </c>
      <c r="J168" s="218"/>
      <c r="K168" s="251"/>
      <c r="L168" s="233"/>
    </row>
    <row r="169" ht="21" customHeight="1" spans="1:12">
      <c r="A169" s="186" t="s">
        <v>1086</v>
      </c>
      <c r="B169" s="217"/>
      <c r="C169" s="217"/>
      <c r="D169" s="187"/>
      <c r="E169" s="218"/>
      <c r="F169" s="217">
        <f t="shared" si="20"/>
        <v>0</v>
      </c>
      <c r="G169" s="218"/>
      <c r="H169" s="217"/>
      <c r="I169" s="217">
        <f t="shared" si="21"/>
        <v>0</v>
      </c>
      <c r="J169" s="218"/>
      <c r="K169" s="251"/>
      <c r="L169" s="233"/>
    </row>
    <row r="170" ht="21" customHeight="1" spans="1:12">
      <c r="A170" s="186" t="s">
        <v>1089</v>
      </c>
      <c r="B170" s="189">
        <v>391</v>
      </c>
      <c r="C170" s="219">
        <v>10557</v>
      </c>
      <c r="D170" s="189">
        <v>5651</v>
      </c>
      <c r="E170" s="218">
        <f>D170/C170*100</f>
        <v>53.528464525907</v>
      </c>
      <c r="F170" s="217">
        <f t="shared" si="20"/>
        <v>5260</v>
      </c>
      <c r="G170" s="218">
        <f>F170/B170*100</f>
        <v>1345.26854219949</v>
      </c>
      <c r="H170" s="219">
        <v>10000</v>
      </c>
      <c r="I170" s="217">
        <f t="shared" si="21"/>
        <v>-557</v>
      </c>
      <c r="J170" s="218">
        <f>I170/C170*100</f>
        <v>-5.2761201098797</v>
      </c>
      <c r="K170" s="252"/>
      <c r="L170" s="233"/>
    </row>
    <row r="171" ht="21" customHeight="1" spans="1:12">
      <c r="A171" s="186" t="s">
        <v>1381</v>
      </c>
      <c r="B171" s="189">
        <v>20200</v>
      </c>
      <c r="C171" s="219"/>
      <c r="D171" s="189">
        <v>63194</v>
      </c>
      <c r="E171" s="218"/>
      <c r="F171" s="217">
        <f t="shared" si="20"/>
        <v>42994</v>
      </c>
      <c r="G171" s="218">
        <f>F171/B171*100</f>
        <v>212.841584158416</v>
      </c>
      <c r="H171" s="219"/>
      <c r="I171" s="217">
        <f t="shared" si="21"/>
        <v>0</v>
      </c>
      <c r="J171" s="218"/>
      <c r="K171" s="253"/>
      <c r="L171" s="233"/>
    </row>
    <row r="172" ht="21" customHeight="1" spans="1:12">
      <c r="A172" s="186" t="s">
        <v>1093</v>
      </c>
      <c r="B172" s="180">
        <v>54943</v>
      </c>
      <c r="C172" s="219">
        <v>54943</v>
      </c>
      <c r="D172" s="187">
        <v>48124</v>
      </c>
      <c r="E172" s="218">
        <f>D172/C172*100</f>
        <v>87.5889558269479</v>
      </c>
      <c r="F172" s="217">
        <f t="shared" si="20"/>
        <v>-6819</v>
      </c>
      <c r="G172" s="218">
        <f>F172/B172*100</f>
        <v>-12.4110441730521</v>
      </c>
      <c r="H172" s="219">
        <v>48124</v>
      </c>
      <c r="I172" s="217">
        <f t="shared" si="21"/>
        <v>-6819</v>
      </c>
      <c r="J172" s="218">
        <f>I172/C172*100</f>
        <v>-12.4110441730521</v>
      </c>
      <c r="K172" s="248"/>
      <c r="L172" s="233"/>
    </row>
    <row r="173" s="3" customFormat="1" ht="21" customHeight="1" spans="1:12">
      <c r="A173" s="244" t="s">
        <v>1382</v>
      </c>
      <c r="B173" s="247">
        <f>B166+B167</f>
        <v>164661.08881</v>
      </c>
      <c r="C173" s="175">
        <f t="shared" ref="C173:H173" si="27">C166+C167</f>
        <v>91476.3229</v>
      </c>
      <c r="D173" s="247">
        <f t="shared" si="27"/>
        <v>293014</v>
      </c>
      <c r="E173" s="246">
        <f>D173/C173*100</f>
        <v>320.316766908435</v>
      </c>
      <c r="F173" s="247">
        <f t="shared" si="20"/>
        <v>128352.91119</v>
      </c>
      <c r="G173" s="246">
        <f>F173/B173*100</f>
        <v>77.9497524992711</v>
      </c>
      <c r="H173" s="247">
        <f t="shared" si="27"/>
        <v>80776.74</v>
      </c>
      <c r="I173" s="247">
        <f t="shared" si="21"/>
        <v>-10699.5829</v>
      </c>
      <c r="J173" s="246">
        <f>I173/C173*100</f>
        <v>-11.6965598974683</v>
      </c>
      <c r="K173" s="254"/>
      <c r="L173" s="249"/>
    </row>
    <row r="174" spans="1:12">
      <c r="A174" s="202"/>
      <c r="B174" s="203"/>
      <c r="C174" s="196"/>
      <c r="D174" s="197"/>
      <c r="E174" s="198"/>
      <c r="F174" s="199"/>
      <c r="G174" s="198"/>
      <c r="H174" s="196"/>
      <c r="I174" s="199"/>
      <c r="J174" s="198"/>
      <c r="K174" s="198"/>
      <c r="L174" s="233"/>
    </row>
  </sheetData>
  <mergeCells count="12">
    <mergeCell ref="A1:K1"/>
    <mergeCell ref="J2:K2"/>
    <mergeCell ref="C3:G3"/>
    <mergeCell ref="H3:J3"/>
    <mergeCell ref="F4:G4"/>
    <mergeCell ref="I4:J4"/>
    <mergeCell ref="A3:A5"/>
    <mergeCell ref="B4:B5"/>
    <mergeCell ref="C4:C5"/>
    <mergeCell ref="D4:D5"/>
    <mergeCell ref="E4:E5"/>
    <mergeCell ref="H4:H5"/>
  </mergeCell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Zeros="0" zoomScaleSheetLayoutView="60" workbookViewId="0">
      <pane xSplit="2" ySplit="5" topLeftCell="C6" activePane="bottomRight" state="frozen"/>
      <selection/>
      <selection pane="topRight"/>
      <selection pane="bottomLeft"/>
      <selection pane="bottomRight" activeCell="B28" sqref="B28"/>
    </sheetView>
  </sheetViews>
  <sheetFormatPr defaultColWidth="9" defaultRowHeight="14.25"/>
  <cols>
    <col min="1" max="1" width="19.5583333333333" customWidth="1"/>
    <col min="2" max="4" width="12.625" style="4" customWidth="1"/>
    <col min="5" max="5" width="12.625" style="145" customWidth="1"/>
    <col min="6" max="6" width="12.625" style="146" customWidth="1"/>
    <col min="7" max="7" width="12.625" style="145" customWidth="1"/>
    <col min="8" max="8" width="12.625" style="4" customWidth="1"/>
    <col min="9" max="9" width="12.625" style="146" customWidth="1"/>
    <col min="10" max="10" width="12.625" style="145" customWidth="1"/>
  </cols>
  <sheetData>
    <row r="1" ht="24" spans="1:11">
      <c r="A1" s="147" t="s">
        <v>1383</v>
      </c>
      <c r="B1" s="148"/>
      <c r="C1" s="148"/>
      <c r="D1" s="148"/>
      <c r="E1" s="149"/>
      <c r="F1" s="150"/>
      <c r="G1" s="149"/>
      <c r="H1" s="148"/>
      <c r="I1" s="150"/>
      <c r="J1" s="149"/>
      <c r="K1" s="151"/>
    </row>
    <row r="2" spans="1:11">
      <c r="A2" s="152"/>
      <c r="B2" s="153"/>
      <c r="C2" s="154"/>
      <c r="D2" s="154"/>
      <c r="E2" s="155"/>
      <c r="F2" s="156"/>
      <c r="G2" s="155"/>
      <c r="H2" s="154"/>
      <c r="I2" s="156"/>
      <c r="J2" s="155" t="s">
        <v>1225</v>
      </c>
      <c r="K2" s="151"/>
    </row>
    <row r="3" s="81" customFormat="1" ht="21" customHeight="1" spans="1:11">
      <c r="A3" s="157" t="s">
        <v>150</v>
      </c>
      <c r="B3" s="158" t="s">
        <v>28</v>
      </c>
      <c r="C3" s="158" t="s">
        <v>29</v>
      </c>
      <c r="D3" s="159"/>
      <c r="E3" s="160"/>
      <c r="F3" s="161"/>
      <c r="G3" s="162"/>
      <c r="H3" s="163" t="s">
        <v>30</v>
      </c>
      <c r="I3" s="164"/>
      <c r="J3" s="165"/>
      <c r="K3" s="166"/>
    </row>
    <row r="4" s="81" customFormat="1" ht="21" customHeight="1" spans="1:11">
      <c r="A4" s="157"/>
      <c r="B4" s="167" t="s">
        <v>31</v>
      </c>
      <c r="C4" s="167" t="s">
        <v>32</v>
      </c>
      <c r="D4" s="167" t="s">
        <v>33</v>
      </c>
      <c r="E4" s="168" t="s">
        <v>34</v>
      </c>
      <c r="F4" s="169" t="s">
        <v>35</v>
      </c>
      <c r="G4" s="160"/>
      <c r="H4" s="170" t="s">
        <v>1214</v>
      </c>
      <c r="I4" s="171" t="s">
        <v>37</v>
      </c>
      <c r="J4" s="165"/>
      <c r="K4" s="166"/>
    </row>
    <row r="5" s="81" customFormat="1" ht="21" customHeight="1" spans="1:11">
      <c r="A5" s="157"/>
      <c r="B5" s="172"/>
      <c r="C5" s="172"/>
      <c r="D5" s="172"/>
      <c r="E5" s="173"/>
      <c r="F5" s="164" t="s">
        <v>38</v>
      </c>
      <c r="G5" s="165" t="s">
        <v>39</v>
      </c>
      <c r="H5" s="170"/>
      <c r="I5" s="164" t="s">
        <v>38</v>
      </c>
      <c r="J5" s="165" t="s">
        <v>39</v>
      </c>
      <c r="K5" s="166"/>
    </row>
    <row r="6" s="3" customFormat="1" ht="21" customHeight="1" spans="1:11">
      <c r="A6" s="174" t="s">
        <v>78</v>
      </c>
      <c r="B6" s="175">
        <f>SUM(B7:B11)</f>
        <v>141863</v>
      </c>
      <c r="C6" s="176">
        <f>SUM(C7:C11)</f>
        <v>54943</v>
      </c>
      <c r="D6" s="175">
        <f>SUM(D7:D11)</f>
        <v>269472</v>
      </c>
      <c r="E6" s="177">
        <f>D6/C6</f>
        <v>4.90457383106128</v>
      </c>
      <c r="F6" s="175">
        <f>D6-B6</f>
        <v>127609</v>
      </c>
      <c r="G6" s="177">
        <f>F6/B6*100</f>
        <v>89.9522779019195</v>
      </c>
      <c r="H6" s="176">
        <f>SUM(H7:H11)</f>
        <v>48124</v>
      </c>
      <c r="I6" s="176">
        <f>H6-D6</f>
        <v>-221348</v>
      </c>
      <c r="J6" s="177">
        <f>I6/D6*100</f>
        <v>-82.1413727585797</v>
      </c>
      <c r="K6" s="178"/>
    </row>
    <row r="7" ht="21" customHeight="1" spans="1:11">
      <c r="A7" s="179" t="s">
        <v>79</v>
      </c>
      <c r="B7" s="180">
        <v>2983</v>
      </c>
      <c r="C7" s="181"/>
      <c r="D7" s="180">
        <v>8458</v>
      </c>
      <c r="E7" s="177"/>
      <c r="F7" s="180">
        <f t="shared" ref="F7:F17" si="0">D7-B7</f>
        <v>5475</v>
      </c>
      <c r="G7" s="182">
        <f t="shared" ref="G7:G17" si="1">F7/B7*100</f>
        <v>183.540060341938</v>
      </c>
      <c r="H7" s="181"/>
      <c r="I7" s="181">
        <f t="shared" ref="I7:I17" si="2">H7-D7</f>
        <v>-8458</v>
      </c>
      <c r="J7" s="182">
        <f t="shared" ref="J7:J17" si="3">I7/D7*100</f>
        <v>-100</v>
      </c>
      <c r="K7" s="151"/>
    </row>
    <row r="8" ht="21" customHeight="1" spans="1:11">
      <c r="A8" s="179" t="s">
        <v>1244</v>
      </c>
      <c r="B8" s="180"/>
      <c r="C8" s="181"/>
      <c r="D8" s="180"/>
      <c r="E8" s="177"/>
      <c r="F8" s="180">
        <f t="shared" si="0"/>
        <v>0</v>
      </c>
      <c r="G8" s="182"/>
      <c r="H8" s="181"/>
      <c r="I8" s="181">
        <f t="shared" si="2"/>
        <v>0</v>
      </c>
      <c r="J8" s="182"/>
      <c r="K8" s="151"/>
    </row>
    <row r="9" ht="21" customHeight="1" spans="1:11">
      <c r="A9" s="179" t="s">
        <v>140</v>
      </c>
      <c r="B9" s="180">
        <v>48516</v>
      </c>
      <c r="C9" s="181">
        <v>54943</v>
      </c>
      <c r="D9" s="180">
        <v>39074</v>
      </c>
      <c r="E9" s="182">
        <f>D9/C9</f>
        <v>0.711173397885081</v>
      </c>
      <c r="F9" s="180">
        <f t="shared" si="0"/>
        <v>-9442</v>
      </c>
      <c r="G9" s="182">
        <f t="shared" si="1"/>
        <v>-19.4616209085662</v>
      </c>
      <c r="H9" s="181">
        <v>48124</v>
      </c>
      <c r="I9" s="181">
        <f t="shared" si="2"/>
        <v>9050</v>
      </c>
      <c r="J9" s="182">
        <f t="shared" si="3"/>
        <v>23.1611813482111</v>
      </c>
      <c r="K9" s="151"/>
    </row>
    <row r="10" ht="21" customHeight="1" spans="1:11">
      <c r="A10" s="179" t="s">
        <v>146</v>
      </c>
      <c r="B10" s="180">
        <v>90364</v>
      </c>
      <c r="C10" s="181"/>
      <c r="D10" s="180">
        <v>221940</v>
      </c>
      <c r="E10" s="177"/>
      <c r="F10" s="180">
        <f t="shared" si="0"/>
        <v>131576</v>
      </c>
      <c r="G10" s="182">
        <f t="shared" si="1"/>
        <v>145.606657518481</v>
      </c>
      <c r="H10" s="181"/>
      <c r="I10" s="181">
        <f t="shared" si="2"/>
        <v>-221940</v>
      </c>
      <c r="J10" s="182">
        <f t="shared" si="3"/>
        <v>-100</v>
      </c>
      <c r="K10" s="151"/>
    </row>
    <row r="11" ht="21" customHeight="1" spans="1:11">
      <c r="A11" s="179" t="s">
        <v>141</v>
      </c>
      <c r="B11" s="180"/>
      <c r="C11" s="181"/>
      <c r="D11" s="180"/>
      <c r="E11" s="177"/>
      <c r="F11" s="175">
        <f t="shared" si="0"/>
        <v>0</v>
      </c>
      <c r="G11" s="177"/>
      <c r="H11" s="181"/>
      <c r="I11" s="181">
        <f t="shared" si="2"/>
        <v>0</v>
      </c>
      <c r="J11" s="182"/>
      <c r="K11" s="151"/>
    </row>
    <row r="12" s="3" customFormat="1" ht="21" customHeight="1" spans="1:11">
      <c r="A12" s="183" t="s">
        <v>1082</v>
      </c>
      <c r="B12" s="184">
        <f>SUM(B13:B17)</f>
        <v>75534</v>
      </c>
      <c r="C12" s="185">
        <f>SUM(C13:C17)</f>
        <v>65500</v>
      </c>
      <c r="D12" s="184">
        <f>SUM(D13:D17)</f>
        <v>116969</v>
      </c>
      <c r="E12" s="177">
        <f>D12/C12</f>
        <v>1.78578625954198</v>
      </c>
      <c r="F12" s="175">
        <f t="shared" si="0"/>
        <v>41435</v>
      </c>
      <c r="G12" s="177">
        <f t="shared" si="1"/>
        <v>54.8560912966346</v>
      </c>
      <c r="H12" s="185">
        <f>SUM(H13:H17)</f>
        <v>58124</v>
      </c>
      <c r="I12" s="176">
        <f t="shared" si="2"/>
        <v>-58845</v>
      </c>
      <c r="J12" s="177">
        <f t="shared" si="3"/>
        <v>-50.308201318298</v>
      </c>
      <c r="K12" s="178" t="s">
        <v>1245</v>
      </c>
    </row>
    <row r="13" ht="21" customHeight="1" spans="1:11">
      <c r="A13" s="186" t="s">
        <v>1083</v>
      </c>
      <c r="B13" s="187"/>
      <c r="C13" s="188"/>
      <c r="D13" s="187"/>
      <c r="E13" s="177"/>
      <c r="F13" s="175">
        <f t="shared" si="0"/>
        <v>0</v>
      </c>
      <c r="G13" s="182"/>
      <c r="H13" s="188"/>
      <c r="I13" s="181">
        <f t="shared" si="2"/>
        <v>0</v>
      </c>
      <c r="J13" s="182"/>
    </row>
    <row r="14" ht="21" customHeight="1" spans="1:11">
      <c r="A14" s="186" t="s">
        <v>1086</v>
      </c>
      <c r="B14" s="187"/>
      <c r="C14" s="188"/>
      <c r="D14" s="187"/>
      <c r="E14" s="177"/>
      <c r="F14" s="175">
        <f t="shared" si="0"/>
        <v>0</v>
      </c>
      <c r="G14" s="182"/>
      <c r="H14" s="188"/>
      <c r="I14" s="181">
        <f t="shared" si="2"/>
        <v>0</v>
      </c>
      <c r="J14" s="182"/>
    </row>
    <row r="15" ht="21" customHeight="1" spans="1:11">
      <c r="A15" s="186" t="s">
        <v>1089</v>
      </c>
      <c r="B15" s="189">
        <v>391</v>
      </c>
      <c r="C15" s="190">
        <v>10557</v>
      </c>
      <c r="D15" s="189">
        <v>5651</v>
      </c>
      <c r="E15" s="182">
        <f>D15/C15</f>
        <v>0.53528464525907</v>
      </c>
      <c r="F15" s="180">
        <f t="shared" si="0"/>
        <v>5260</v>
      </c>
      <c r="G15" s="182">
        <f t="shared" si="1"/>
        <v>1345.26854219949</v>
      </c>
      <c r="H15" s="190">
        <v>10000</v>
      </c>
      <c r="I15" s="181">
        <f t="shared" si="2"/>
        <v>4349</v>
      </c>
      <c r="J15" s="182">
        <f t="shared" si="3"/>
        <v>76.9598301185631</v>
      </c>
    </row>
    <row r="16" ht="21" customHeight="1" spans="1:11">
      <c r="A16" s="186" t="s">
        <v>1381</v>
      </c>
      <c r="B16" s="189">
        <v>20200</v>
      </c>
      <c r="C16" s="190"/>
      <c r="D16" s="189">
        <v>63194</v>
      </c>
      <c r="E16" s="177"/>
      <c r="F16" s="180">
        <f t="shared" si="0"/>
        <v>42994</v>
      </c>
      <c r="G16" s="182">
        <f t="shared" si="1"/>
        <v>212.841584158416</v>
      </c>
      <c r="H16" s="190"/>
      <c r="I16" s="181">
        <f t="shared" si="2"/>
        <v>-63194</v>
      </c>
      <c r="J16" s="182">
        <f t="shared" si="3"/>
        <v>-100</v>
      </c>
    </row>
    <row r="17" ht="21" customHeight="1" spans="1:10">
      <c r="A17" s="186" t="s">
        <v>1093</v>
      </c>
      <c r="B17" s="187">
        <v>54943</v>
      </c>
      <c r="C17" s="190">
        <v>54943</v>
      </c>
      <c r="D17" s="187">
        <v>48124</v>
      </c>
      <c r="E17" s="182">
        <f>D17/C17</f>
        <v>0.875889558269479</v>
      </c>
      <c r="F17" s="180">
        <f t="shared" si="0"/>
        <v>-6819</v>
      </c>
      <c r="G17" s="182">
        <f t="shared" si="1"/>
        <v>-12.4110441730521</v>
      </c>
      <c r="H17" s="190">
        <v>48124</v>
      </c>
      <c r="I17" s="181">
        <f t="shared" si="2"/>
        <v>0</v>
      </c>
      <c r="J17" s="182">
        <f t="shared" si="3"/>
        <v>0</v>
      </c>
    </row>
  </sheetData>
  <mergeCells count="11">
    <mergeCell ref="A1:J1"/>
    <mergeCell ref="C3:G3"/>
    <mergeCell ref="H3:J3"/>
    <mergeCell ref="F4:G4"/>
    <mergeCell ref="I4:J4"/>
    <mergeCell ref="A3:A5"/>
    <mergeCell ref="B4:B5"/>
    <mergeCell ref="C4:C5"/>
    <mergeCell ref="D4:D5"/>
    <mergeCell ref="E4:E5"/>
    <mergeCell ref="H4:H5"/>
  </mergeCell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showZeros="0" zoomScaleSheetLayoutView="60" workbookViewId="0">
      <selection activeCell="D13" sqref="D13"/>
    </sheetView>
  </sheetViews>
  <sheetFormatPr defaultColWidth="9" defaultRowHeight="12" outlineLevelRow="3"/>
  <cols>
    <col min="1" max="1" width="26.75" style="133" customWidth="1"/>
    <col min="2" max="4" width="23" style="133" customWidth="1"/>
    <col min="5" max="5" width="24.375" style="134" customWidth="1"/>
    <col min="6" max="16384" width="9" style="133"/>
  </cols>
  <sheetData>
    <row r="1" ht="24" spans="1:256">
      <c r="A1" s="135" t="s">
        <v>1384</v>
      </c>
      <c r="B1" s="135"/>
      <c r="C1" s="135"/>
      <c r="D1" s="135"/>
      <c r="E1" s="136"/>
    </row>
    <row r="2" ht="14.25" spans="1:256">
      <c r="A2" s="132"/>
      <c r="B2" s="132"/>
      <c r="C2" s="132"/>
      <c r="D2" s="132"/>
      <c r="E2" s="137" t="s">
        <v>1385</v>
      </c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</row>
    <row r="3" s="132" customFormat="1" ht="45" customHeight="1" spans="1:256">
      <c r="A3" s="138" t="s">
        <v>1218</v>
      </c>
      <c r="B3" s="138" t="s">
        <v>1219</v>
      </c>
      <c r="C3" s="138" t="s">
        <v>1220</v>
      </c>
      <c r="D3" s="138" t="s">
        <v>1221</v>
      </c>
      <c r="E3" s="139" t="s">
        <v>1222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</row>
    <row r="4" ht="45" customHeight="1" spans="1:256">
      <c r="A4" s="141" t="s">
        <v>1386</v>
      </c>
      <c r="B4" s="142">
        <v>280023</v>
      </c>
      <c r="C4" s="142">
        <v>509163</v>
      </c>
      <c r="D4" s="142">
        <v>509200</v>
      </c>
      <c r="E4" s="143">
        <f>C4/D4</f>
        <v>0.999927336999214</v>
      </c>
      <c r="F4" s="144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</row>
  </sheetData>
  <mergeCells count="1">
    <mergeCell ref="A1:E1"/>
  </mergeCells>
  <pageMargins left="0.71" right="0.71" top="0.75" bottom="0.75" header="0.31" footer="0.31"/>
  <pageSetup paperSize="9" orientation="landscape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Zeros="0" zoomScaleSheetLayoutView="60" workbookViewId="0">
      <selection activeCell="I10" sqref="I10"/>
    </sheetView>
  </sheetViews>
  <sheetFormatPr defaultColWidth="9" defaultRowHeight="14.25" outlineLevelCol="4"/>
  <cols>
    <col min="1" max="1" width="45.875" customWidth="1"/>
    <col min="2" max="2" width="14" style="4" customWidth="1"/>
    <col min="3" max="4" width="12.625" style="4" customWidth="1"/>
    <col min="5" max="5" width="12.625" style="5" customWidth="1"/>
  </cols>
  <sheetData>
    <row r="1" ht="30" customHeight="1" spans="1:5">
      <c r="A1" s="82" t="s">
        <v>1387</v>
      </c>
      <c r="B1" s="124"/>
      <c r="C1" s="124"/>
      <c r="D1" s="124"/>
      <c r="E1" s="125"/>
    </row>
    <row r="2" spans="1:5">
      <c r="A2" s="85"/>
      <c r="B2" s="86"/>
      <c r="C2" s="86"/>
      <c r="D2" s="86"/>
      <c r="E2" s="87" t="s">
        <v>1385</v>
      </c>
    </row>
    <row r="3" s="2" customFormat="1" ht="21" customHeight="1" spans="1:5">
      <c r="A3" s="126" t="s">
        <v>1388</v>
      </c>
      <c r="B3" s="113" t="s">
        <v>1389</v>
      </c>
      <c r="C3" s="94" t="s">
        <v>1249</v>
      </c>
      <c r="D3" s="94"/>
      <c r="E3" s="114"/>
    </row>
    <row r="4" s="2" customFormat="1" ht="21" customHeight="1" spans="1:5">
      <c r="A4" s="126"/>
      <c r="B4" s="115"/>
      <c r="C4" s="93" t="s">
        <v>36</v>
      </c>
      <c r="D4" s="93" t="s">
        <v>1390</v>
      </c>
      <c r="E4" s="116"/>
    </row>
    <row r="5" s="2" customFormat="1" ht="21" customHeight="1" spans="1:5">
      <c r="A5" s="126"/>
      <c r="B5" s="117"/>
      <c r="C5" s="93"/>
      <c r="D5" s="96" t="s">
        <v>157</v>
      </c>
      <c r="E5" s="97" t="s">
        <v>39</v>
      </c>
    </row>
    <row r="6" s="3" customFormat="1" ht="21" customHeight="1" spans="1:5">
      <c r="A6" s="127" t="s">
        <v>1391</v>
      </c>
      <c r="B6" s="99">
        <f>B7+B8</f>
        <v>57986</v>
      </c>
      <c r="C6" s="99">
        <f>C7+C8</f>
        <v>60305</v>
      </c>
      <c r="D6" s="99">
        <f>C6-B6</f>
        <v>2319</v>
      </c>
      <c r="E6" s="120">
        <f>D6/B6*100</f>
        <v>3.99924119615079</v>
      </c>
    </row>
    <row r="7" ht="21" customHeight="1" spans="1:5">
      <c r="A7" s="128" t="s">
        <v>1392</v>
      </c>
      <c r="B7" s="102">
        <v>30397</v>
      </c>
      <c r="C7" s="102">
        <v>31017</v>
      </c>
      <c r="D7" s="102">
        <f>C7-B7</f>
        <v>620</v>
      </c>
      <c r="E7" s="103">
        <f>D7/B7*100</f>
        <v>2.03967496792447</v>
      </c>
    </row>
    <row r="8" ht="21" customHeight="1" spans="1:5">
      <c r="A8" s="129" t="s">
        <v>1393</v>
      </c>
      <c r="B8" s="102">
        <v>27589</v>
      </c>
      <c r="C8" s="102">
        <v>29288</v>
      </c>
      <c r="D8" s="102">
        <f>C8-B8</f>
        <v>1699</v>
      </c>
      <c r="E8" s="103">
        <f>D8/B8*100</f>
        <v>6.15825147703795</v>
      </c>
    </row>
    <row r="9" ht="21" customHeight="1" spans="1:5">
      <c r="A9" s="128"/>
      <c r="B9" s="102"/>
      <c r="C9" s="102"/>
      <c r="D9" s="102"/>
      <c r="E9" s="103"/>
    </row>
    <row r="10" ht="21" customHeight="1" spans="1:5">
      <c r="A10" s="129"/>
      <c r="B10" s="102"/>
      <c r="C10" s="102"/>
      <c r="D10" s="102"/>
      <c r="E10" s="103"/>
    </row>
    <row r="11" ht="21" customHeight="1" spans="1:5">
      <c r="A11" s="129"/>
      <c r="B11" s="102"/>
      <c r="C11" s="102"/>
      <c r="D11" s="102"/>
      <c r="E11" s="103"/>
    </row>
    <row r="12" ht="21" customHeight="1" spans="1:5">
      <c r="A12" s="128"/>
      <c r="B12" s="102"/>
      <c r="C12" s="102"/>
      <c r="D12" s="102"/>
      <c r="E12" s="103"/>
    </row>
    <row r="13" ht="21" customHeight="1" spans="1:5">
      <c r="A13" s="128"/>
      <c r="B13" s="102"/>
      <c r="C13" s="102"/>
      <c r="D13" s="102"/>
      <c r="E13" s="103"/>
    </row>
    <row r="14" ht="21" customHeight="1" spans="1:5">
      <c r="A14" s="129"/>
      <c r="B14" s="102"/>
      <c r="C14" s="102"/>
      <c r="D14" s="102"/>
      <c r="E14" s="103"/>
    </row>
    <row r="15" s="3" customFormat="1" ht="21" customHeight="1" spans="1:5">
      <c r="A15" s="130" t="s">
        <v>1394</v>
      </c>
      <c r="B15" s="99">
        <f>B16+B17</f>
        <v>43874</v>
      </c>
      <c r="C15" s="99">
        <f>C16+C17</f>
        <v>48713</v>
      </c>
      <c r="D15" s="99">
        <f>C15-B15</f>
        <v>4839</v>
      </c>
      <c r="E15" s="120">
        <f>D15/B15*100</f>
        <v>11.0293112093723</v>
      </c>
    </row>
    <row r="16" ht="21" customHeight="1" spans="1:5">
      <c r="A16" s="128" t="s">
        <v>1395</v>
      </c>
      <c r="B16" s="102">
        <v>28888</v>
      </c>
      <c r="C16" s="102">
        <v>30967</v>
      </c>
      <c r="D16" s="102">
        <f t="shared" ref="D16:D25" si="0">C16-B16</f>
        <v>2079</v>
      </c>
      <c r="E16" s="103">
        <f>D16/B16*100</f>
        <v>7.19675990030462</v>
      </c>
    </row>
    <row r="17" ht="21" customHeight="1" spans="1:5">
      <c r="A17" s="129" t="s">
        <v>1396</v>
      </c>
      <c r="B17" s="102">
        <v>14986</v>
      </c>
      <c r="C17" s="102">
        <v>17746</v>
      </c>
      <c r="D17" s="102">
        <f t="shared" si="0"/>
        <v>2760</v>
      </c>
      <c r="E17" s="103">
        <f>D17/B17*100</f>
        <v>18.4171893767516</v>
      </c>
    </row>
    <row r="18" ht="21" customHeight="1" spans="1:5">
      <c r="A18" s="128"/>
      <c r="B18" s="102"/>
      <c r="C18" s="102"/>
      <c r="D18" s="102">
        <f t="shared" si="0"/>
        <v>0</v>
      </c>
      <c r="E18" s="103"/>
    </row>
    <row r="19" ht="21" customHeight="1" spans="1:5">
      <c r="A19" s="129"/>
      <c r="B19" s="102"/>
      <c r="C19" s="102"/>
      <c r="D19" s="102">
        <f t="shared" si="0"/>
        <v>0</v>
      </c>
      <c r="E19" s="103"/>
    </row>
    <row r="20" ht="21" customHeight="1" spans="1:5">
      <c r="A20" s="129"/>
      <c r="B20" s="102"/>
      <c r="C20" s="102"/>
      <c r="D20" s="102">
        <f t="shared" si="0"/>
        <v>0</v>
      </c>
      <c r="E20" s="103"/>
    </row>
    <row r="21" ht="21" customHeight="1" spans="1:5">
      <c r="A21" s="128"/>
      <c r="B21" s="102"/>
      <c r="C21" s="102"/>
      <c r="D21" s="102">
        <f t="shared" si="0"/>
        <v>0</v>
      </c>
      <c r="E21" s="103"/>
    </row>
    <row r="22" ht="21" customHeight="1" spans="1:5">
      <c r="A22" s="128"/>
      <c r="B22" s="102"/>
      <c r="C22" s="102"/>
      <c r="D22" s="102">
        <f t="shared" si="0"/>
        <v>0</v>
      </c>
      <c r="E22" s="103"/>
    </row>
    <row r="23" ht="21" customHeight="1" spans="1:5">
      <c r="A23" s="129"/>
      <c r="B23" s="102"/>
      <c r="C23" s="102"/>
      <c r="D23" s="102">
        <f t="shared" si="0"/>
        <v>0</v>
      </c>
      <c r="E23" s="103"/>
    </row>
    <row r="24" s="3" customFormat="1" ht="21" customHeight="1" spans="1:5">
      <c r="A24" s="127" t="s">
        <v>1397</v>
      </c>
      <c r="B24" s="99">
        <f>B6-B15</f>
        <v>14112</v>
      </c>
      <c r="C24" s="99">
        <f>C6-C15</f>
        <v>11592</v>
      </c>
      <c r="D24" s="99">
        <f t="shared" si="0"/>
        <v>-2520</v>
      </c>
      <c r="E24" s="120">
        <f>D24/B24*100</f>
        <v>-17.8571428571429</v>
      </c>
    </row>
    <row r="25" s="3" customFormat="1" ht="21" customHeight="1" spans="1:5">
      <c r="A25" s="127" t="s">
        <v>1398</v>
      </c>
      <c r="B25" s="131">
        <v>49174</v>
      </c>
      <c r="C25" s="131">
        <v>60766</v>
      </c>
      <c r="D25" s="99">
        <f t="shared" si="0"/>
        <v>11592</v>
      </c>
      <c r="E25" s="120">
        <f>D25/B25*100</f>
        <v>23.5734331150608</v>
      </c>
    </row>
    <row r="26" spans="1:5">
      <c r="A26" s="109"/>
      <c r="B26" s="110"/>
      <c r="C26" s="110"/>
      <c r="D26" s="110"/>
      <c r="E26" s="111"/>
    </row>
  </sheetData>
  <mergeCells count="7">
    <mergeCell ref="A1:E1"/>
    <mergeCell ref="C3:E3"/>
    <mergeCell ref="D4:E4"/>
    <mergeCell ref="A26:E26"/>
    <mergeCell ref="A3:A5"/>
    <mergeCell ref="B3:B5"/>
    <mergeCell ref="C4:C5"/>
  </mergeCell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Zeros="0" zoomScaleSheetLayoutView="60" workbookViewId="0">
      <selection activeCell="I7" sqref="I7"/>
    </sheetView>
  </sheetViews>
  <sheetFormatPr defaultColWidth="9" defaultRowHeight="14.25" outlineLevelCol="4"/>
  <cols>
    <col min="1" max="1" width="43.875" customWidth="1"/>
    <col min="2" max="4" width="15.625" style="4" customWidth="1"/>
    <col min="5" max="5" width="15.625" style="5" customWidth="1"/>
  </cols>
  <sheetData>
    <row r="1" ht="30" customHeight="1" spans="1:5">
      <c r="A1" s="82" t="s">
        <v>1399</v>
      </c>
      <c r="B1" s="83"/>
      <c r="C1" s="83"/>
      <c r="D1" s="83"/>
      <c r="E1" s="84"/>
    </row>
    <row r="2" spans="1:5">
      <c r="A2" s="85"/>
      <c r="B2" s="86"/>
      <c r="C2" s="86"/>
      <c r="D2" s="86"/>
      <c r="E2" s="87" t="s">
        <v>1385</v>
      </c>
    </row>
    <row r="3" s="2" customFormat="1" ht="21" customHeight="1" spans="1:5">
      <c r="A3" s="112" t="s">
        <v>1388</v>
      </c>
      <c r="B3" s="113" t="s">
        <v>1389</v>
      </c>
      <c r="C3" s="94" t="s">
        <v>1249</v>
      </c>
      <c r="D3" s="94"/>
      <c r="E3" s="114"/>
    </row>
    <row r="4" s="2" customFormat="1" ht="21" customHeight="1" spans="1:5">
      <c r="A4" s="112"/>
      <c r="B4" s="115"/>
      <c r="C4" s="93" t="s">
        <v>36</v>
      </c>
      <c r="D4" s="93" t="s">
        <v>1390</v>
      </c>
      <c r="E4" s="116"/>
    </row>
    <row r="5" s="2" customFormat="1" ht="21" customHeight="1" spans="1:5">
      <c r="A5" s="112"/>
      <c r="B5" s="117"/>
      <c r="C5" s="93"/>
      <c r="D5" s="96" t="s">
        <v>157</v>
      </c>
      <c r="E5" s="118" t="s">
        <v>39</v>
      </c>
    </row>
    <row r="6" s="3" customFormat="1" ht="21" customHeight="1" spans="1:5">
      <c r="A6" s="119" t="s">
        <v>1391</v>
      </c>
      <c r="B6" s="99">
        <f>B7+B8</f>
        <v>57986</v>
      </c>
      <c r="C6" s="99">
        <f>C7+C8</f>
        <v>60305</v>
      </c>
      <c r="D6" s="99">
        <f>C6-B6</f>
        <v>2319</v>
      </c>
      <c r="E6" s="120">
        <f>D6/B6*100</f>
        <v>3.99924119615079</v>
      </c>
    </row>
    <row r="7" ht="21" customHeight="1" spans="1:5">
      <c r="A7" s="101" t="s">
        <v>1400</v>
      </c>
      <c r="B7" s="102">
        <v>30397</v>
      </c>
      <c r="C7" s="102">
        <v>31017</v>
      </c>
      <c r="D7" s="102">
        <f>C7-B7</f>
        <v>620</v>
      </c>
      <c r="E7" s="103">
        <f t="shared" ref="E6:E8" si="0">D7/B7*100</f>
        <v>2.03967496792447</v>
      </c>
    </row>
    <row r="8" ht="21" customHeight="1" spans="1:5">
      <c r="A8" s="104" t="s">
        <v>1401</v>
      </c>
      <c r="B8" s="102">
        <v>27589</v>
      </c>
      <c r="C8" s="102">
        <v>29288</v>
      </c>
      <c r="D8" s="102">
        <f>C8-B8</f>
        <v>1699</v>
      </c>
      <c r="E8" s="103">
        <f t="shared" si="0"/>
        <v>6.15825147703795</v>
      </c>
    </row>
    <row r="9" hidden="1" spans="1:5">
      <c r="A9" s="121" t="s">
        <v>1394</v>
      </c>
      <c r="B9" s="106">
        <f>SUM(B10:B17)</f>
        <v>5358</v>
      </c>
      <c r="C9" s="106">
        <f>SUM(C10:C17)</f>
        <v>19646</v>
      </c>
      <c r="D9" s="106">
        <f>SUM(D10:D17)</f>
        <v>14288</v>
      </c>
      <c r="E9" s="107">
        <f>(C9/B9-1)*100</f>
        <v>266.666666666667</v>
      </c>
    </row>
    <row r="10" hidden="1" spans="1:5">
      <c r="A10" s="101" t="s">
        <v>1402</v>
      </c>
      <c r="B10" s="122"/>
      <c r="C10" s="122">
        <v>14353</v>
      </c>
      <c r="D10" s="122">
        <f>C10-B10</f>
        <v>14353</v>
      </c>
      <c r="E10" s="123"/>
    </row>
    <row r="11" hidden="1" spans="1:5">
      <c r="A11" s="104" t="s">
        <v>1403</v>
      </c>
      <c r="B11" s="122">
        <v>5358</v>
      </c>
      <c r="C11" s="122">
        <v>5293</v>
      </c>
      <c r="D11" s="122">
        <f>C11-B11</f>
        <v>-65</v>
      </c>
      <c r="E11" s="123">
        <f>(C11/B11-1)*100</f>
        <v>-1.21313923105636</v>
      </c>
    </row>
    <row r="12" hidden="1" spans="1:5">
      <c r="A12" s="101"/>
      <c r="B12" s="122"/>
      <c r="C12" s="122"/>
      <c r="D12" s="122">
        <f t="shared" ref="D12:D19" si="1">C12-B12</f>
        <v>0</v>
      </c>
      <c r="E12" s="123"/>
    </row>
    <row r="13" hidden="1" spans="1:5">
      <c r="A13" s="104"/>
      <c r="B13" s="122"/>
      <c r="C13" s="122"/>
      <c r="D13" s="122">
        <f t="shared" si="1"/>
        <v>0</v>
      </c>
      <c r="E13" s="123"/>
    </row>
    <row r="14" hidden="1" spans="1:5">
      <c r="A14" s="104"/>
      <c r="B14" s="122"/>
      <c r="C14" s="122"/>
      <c r="D14" s="122">
        <f t="shared" si="1"/>
        <v>0</v>
      </c>
      <c r="E14" s="123"/>
    </row>
    <row r="15" hidden="1" spans="1:5">
      <c r="A15" s="101"/>
      <c r="B15" s="122"/>
      <c r="C15" s="122"/>
      <c r="D15" s="122">
        <f t="shared" si="1"/>
        <v>0</v>
      </c>
      <c r="E15" s="123"/>
    </row>
    <row r="16" hidden="1" spans="1:5">
      <c r="A16" s="101"/>
      <c r="B16" s="122"/>
      <c r="C16" s="122"/>
      <c r="D16" s="122">
        <f t="shared" si="1"/>
        <v>0</v>
      </c>
      <c r="E16" s="123"/>
    </row>
    <row r="17" hidden="1" spans="1:5">
      <c r="A17" s="104"/>
      <c r="B17" s="122"/>
      <c r="C17" s="122"/>
      <c r="D17" s="122">
        <f t="shared" si="1"/>
        <v>0</v>
      </c>
      <c r="E17" s="123"/>
    </row>
    <row r="18" hidden="1" spans="1:5">
      <c r="A18" s="105" t="s">
        <v>1397</v>
      </c>
      <c r="B18" s="106">
        <f>B6-B9</f>
        <v>52628</v>
      </c>
      <c r="C18" s="106">
        <f>C6-C9</f>
        <v>40659</v>
      </c>
      <c r="D18" s="106">
        <f t="shared" si="1"/>
        <v>-11969</v>
      </c>
      <c r="E18" s="107">
        <f>(C18/B18-1)*100</f>
        <v>-22.742646499962</v>
      </c>
    </row>
    <row r="19" hidden="1" spans="1:5">
      <c r="A19" s="105" t="s">
        <v>1398</v>
      </c>
      <c r="B19" s="108">
        <v>8566</v>
      </c>
      <c r="C19" s="108">
        <v>10134</v>
      </c>
      <c r="D19" s="106">
        <f t="shared" si="1"/>
        <v>1568</v>
      </c>
      <c r="E19" s="107">
        <f>(C19/B19-1)*100</f>
        <v>18.3049264534205</v>
      </c>
    </row>
    <row r="20" spans="1:5">
      <c r="A20" s="109"/>
      <c r="B20" s="110"/>
      <c r="C20" s="110"/>
      <c r="D20" s="110"/>
      <c r="E20" s="111"/>
    </row>
  </sheetData>
  <mergeCells count="7">
    <mergeCell ref="A1:E1"/>
    <mergeCell ref="C3:E3"/>
    <mergeCell ref="D4:E4"/>
    <mergeCell ref="A20:E20"/>
    <mergeCell ref="A3:A5"/>
    <mergeCell ref="B3:B5"/>
    <mergeCell ref="C4:C5"/>
  </mergeCell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Zeros="0" tabSelected="1" zoomScaleSheetLayoutView="60" workbookViewId="0">
      <selection activeCell="F19" sqref="F19"/>
    </sheetView>
  </sheetViews>
  <sheetFormatPr defaultColWidth="9" defaultRowHeight="14.25" outlineLevelCol="4"/>
  <cols>
    <col min="1" max="1" width="43.875" customWidth="1"/>
    <col min="2" max="2" width="17.875" style="4" customWidth="1"/>
    <col min="3" max="3" width="11.625" style="4" customWidth="1"/>
    <col min="4" max="4" width="15.5" style="4" customWidth="1"/>
    <col min="5" max="5" width="11.625" style="5" customWidth="1"/>
  </cols>
  <sheetData>
    <row r="1" ht="30" customHeight="1" spans="1:5">
      <c r="A1" s="82" t="s">
        <v>1404</v>
      </c>
      <c r="B1" s="83"/>
      <c r="C1" s="83"/>
      <c r="D1" s="83"/>
      <c r="E1" s="84"/>
    </row>
    <row r="2" spans="1:5">
      <c r="A2" s="85"/>
      <c r="B2" s="86"/>
      <c r="C2" s="86"/>
      <c r="D2" s="86"/>
      <c r="E2" s="87" t="s">
        <v>1385</v>
      </c>
    </row>
    <row r="3" s="81" customFormat="1" ht="21" customHeight="1" spans="1:5">
      <c r="A3" s="88" t="s">
        <v>1405</v>
      </c>
      <c r="B3" s="89" t="s">
        <v>1406</v>
      </c>
      <c r="C3" s="90" t="s">
        <v>30</v>
      </c>
      <c r="D3" s="90"/>
      <c r="E3" s="91"/>
    </row>
    <row r="4" s="81" customFormat="1" ht="21" customHeight="1" spans="1:5">
      <c r="A4" s="88"/>
      <c r="B4" s="92"/>
      <c r="C4" s="93" t="s">
        <v>36</v>
      </c>
      <c r="D4" s="94" t="s">
        <v>1390</v>
      </c>
      <c r="E4" s="94"/>
    </row>
    <row r="5" s="81" customFormat="1" ht="21" customHeight="1" spans="1:5">
      <c r="A5" s="88"/>
      <c r="B5" s="95"/>
      <c r="C5" s="93"/>
      <c r="D5" s="96" t="s">
        <v>157</v>
      </c>
      <c r="E5" s="97" t="s">
        <v>39</v>
      </c>
    </row>
    <row r="6" s="3" customFormat="1" ht="21" customHeight="1" spans="1:5">
      <c r="A6" s="98" t="s">
        <v>1394</v>
      </c>
      <c r="B6" s="99">
        <f>B7+B8</f>
        <v>43874</v>
      </c>
      <c r="C6" s="99">
        <f>C7+C8</f>
        <v>48713</v>
      </c>
      <c r="D6" s="99">
        <f>C6-B6</f>
        <v>4839</v>
      </c>
      <c r="E6" s="100">
        <f>D6/B6*100</f>
        <v>11.0293112093723</v>
      </c>
    </row>
    <row r="7" ht="21" customHeight="1" spans="1:5">
      <c r="A7" s="101" t="s">
        <v>1402</v>
      </c>
      <c r="B7" s="102">
        <v>28888</v>
      </c>
      <c r="C7" s="102">
        <v>30967</v>
      </c>
      <c r="D7" s="102">
        <f>C7-B7</f>
        <v>2079</v>
      </c>
      <c r="E7" s="103">
        <f>D7/B7*100</f>
        <v>7.19675990030462</v>
      </c>
    </row>
    <row r="8" ht="21" customHeight="1" spans="1:5">
      <c r="A8" s="104" t="s">
        <v>1403</v>
      </c>
      <c r="B8" s="102">
        <v>14986</v>
      </c>
      <c r="C8" s="102">
        <v>17746</v>
      </c>
      <c r="D8" s="102">
        <f>C8-B8</f>
        <v>2760</v>
      </c>
      <c r="E8" s="103">
        <f>D8/B8*100</f>
        <v>18.4171893767516</v>
      </c>
    </row>
    <row r="9" hidden="1" spans="1:5">
      <c r="A9" s="105" t="s">
        <v>1397</v>
      </c>
      <c r="B9" s="106">
        <v>1713</v>
      </c>
      <c r="C9" s="106">
        <v>1568</v>
      </c>
      <c r="D9" s="106">
        <v>-145</v>
      </c>
      <c r="E9" s="107">
        <v>-8.46468184471687</v>
      </c>
    </row>
    <row r="10" hidden="1" spans="1:5">
      <c r="A10" s="105" t="s">
        <v>1398</v>
      </c>
      <c r="B10" s="108">
        <v>8566</v>
      </c>
      <c r="C10" s="108">
        <v>10134</v>
      </c>
      <c r="D10" s="106">
        <v>1568</v>
      </c>
      <c r="E10" s="107">
        <v>18.3049264534205</v>
      </c>
    </row>
    <row r="11" spans="1:5">
      <c r="A11" s="109"/>
      <c r="B11" s="110"/>
      <c r="C11" s="110"/>
      <c r="D11" s="110"/>
      <c r="E11" s="111"/>
    </row>
  </sheetData>
  <mergeCells count="7">
    <mergeCell ref="A1:E1"/>
    <mergeCell ref="C3:E3"/>
    <mergeCell ref="D4:E4"/>
    <mergeCell ref="A11:E11"/>
    <mergeCell ref="A3:A5"/>
    <mergeCell ref="B3:B5"/>
    <mergeCell ref="C4:C5"/>
  </mergeCell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Zeros="0" zoomScaleSheetLayoutView="60" topLeftCell="A8" workbookViewId="0">
      <selection activeCell="I8" sqref="I8"/>
    </sheetView>
  </sheetViews>
  <sheetFormatPr defaultColWidth="9" defaultRowHeight="14.25"/>
  <cols>
    <col min="1" max="1" width="47.25" customWidth="1"/>
    <col min="2" max="4" width="12.625" style="4" customWidth="1"/>
    <col min="5" max="5" width="12.625" style="5" customWidth="1"/>
  </cols>
  <sheetData>
    <row r="1" ht="30" customHeight="1" spans="1:10">
      <c r="A1" s="51" t="s">
        <v>1407</v>
      </c>
      <c r="B1" s="52"/>
      <c r="C1" s="52"/>
      <c r="D1" s="52"/>
      <c r="E1" s="53"/>
      <c r="F1" s="54"/>
      <c r="G1" s="54"/>
      <c r="H1" s="54"/>
      <c r="I1" s="54"/>
      <c r="J1" s="54"/>
    </row>
    <row r="2" ht="21" customHeight="1" spans="1:10">
      <c r="A2" s="55" t="s">
        <v>1385</v>
      </c>
      <c r="B2" s="56"/>
      <c r="C2" s="57"/>
      <c r="D2" s="57"/>
      <c r="E2" s="58"/>
      <c r="F2" s="54"/>
      <c r="G2" s="54"/>
      <c r="H2" s="54"/>
      <c r="I2" s="54"/>
      <c r="J2" s="59"/>
    </row>
    <row r="3" s="2" customFormat="1" ht="21" customHeight="1" spans="1:10">
      <c r="A3" s="60" t="s">
        <v>1388</v>
      </c>
      <c r="B3" s="61" t="s">
        <v>1408</v>
      </c>
      <c r="C3" s="62" t="s">
        <v>30</v>
      </c>
      <c r="D3" s="63"/>
      <c r="E3" s="64"/>
      <c r="F3" s="65"/>
      <c r="G3" s="65"/>
      <c r="H3" s="65"/>
      <c r="I3" s="65"/>
      <c r="J3" s="65"/>
    </row>
    <row r="4" s="2" customFormat="1" ht="21" customHeight="1" spans="1:10">
      <c r="A4" s="60"/>
      <c r="B4" s="66"/>
      <c r="C4" s="67" t="s">
        <v>36</v>
      </c>
      <c r="D4" s="67" t="s">
        <v>37</v>
      </c>
      <c r="E4" s="68"/>
      <c r="F4" s="65"/>
      <c r="G4" s="65"/>
      <c r="H4" s="65"/>
      <c r="I4" s="65"/>
      <c r="J4" s="65"/>
    </row>
    <row r="5" s="2" customFormat="1" ht="21" customHeight="1" spans="1:10">
      <c r="A5" s="60"/>
      <c r="B5" s="69"/>
      <c r="C5" s="67"/>
      <c r="D5" s="70" t="s">
        <v>157</v>
      </c>
      <c r="E5" s="24" t="s">
        <v>39</v>
      </c>
      <c r="F5" s="65"/>
      <c r="G5" s="65"/>
      <c r="H5" s="65"/>
      <c r="I5" s="65"/>
      <c r="J5" s="65"/>
    </row>
    <row r="6" ht="21" customHeight="1" spans="1:10">
      <c r="A6" s="71" t="s">
        <v>1409</v>
      </c>
      <c r="B6" s="26">
        <f>SUM(B7:B8)</f>
        <v>164</v>
      </c>
      <c r="C6" s="26">
        <f>SUM(C7:C8)</f>
        <v>113</v>
      </c>
      <c r="D6" s="26">
        <f>C6-B6</f>
        <v>-51</v>
      </c>
      <c r="E6" s="48">
        <f>D6/B6*100</f>
        <v>-31.0975609756098</v>
      </c>
      <c r="F6" s="54"/>
      <c r="G6" s="54"/>
      <c r="H6" s="54"/>
      <c r="I6" s="59"/>
      <c r="J6" s="54"/>
    </row>
    <row r="7" ht="21" customHeight="1" spans="1:10">
      <c r="A7" s="71" t="s">
        <v>1410</v>
      </c>
      <c r="B7" s="26">
        <v>35</v>
      </c>
      <c r="C7" s="26">
        <v>113</v>
      </c>
      <c r="D7" s="26">
        <f t="shared" ref="D7:D21" si="0">C7-B7</f>
        <v>78</v>
      </c>
      <c r="E7" s="48">
        <f>D7/B7*100</f>
        <v>222.857142857143</v>
      </c>
      <c r="F7" s="72"/>
      <c r="G7" s="72"/>
      <c r="H7" s="72"/>
      <c r="I7" s="72"/>
      <c r="J7" s="72"/>
    </row>
    <row r="8" ht="21" customHeight="1" spans="1:10">
      <c r="A8" s="71" t="s">
        <v>1411</v>
      </c>
      <c r="B8" s="26">
        <v>129</v>
      </c>
      <c r="C8" s="26"/>
      <c r="D8" s="26">
        <f t="shared" si="0"/>
        <v>-129</v>
      </c>
      <c r="E8" s="48">
        <f>D8/B8*100</f>
        <v>-100</v>
      </c>
      <c r="F8" s="72"/>
      <c r="G8" s="72"/>
      <c r="H8" s="72"/>
      <c r="I8" s="72"/>
      <c r="J8" s="72"/>
    </row>
    <row r="9" ht="21" customHeight="1" spans="1:10">
      <c r="A9" s="71" t="s">
        <v>1412</v>
      </c>
      <c r="B9" s="26"/>
      <c r="C9" s="26"/>
      <c r="D9" s="26">
        <f t="shared" si="0"/>
        <v>0</v>
      </c>
      <c r="E9" s="48"/>
      <c r="F9" s="54"/>
      <c r="G9" s="54"/>
      <c r="H9" s="54"/>
      <c r="I9" s="54"/>
      <c r="J9" s="54"/>
    </row>
    <row r="10" ht="21" customHeight="1" spans="1:10">
      <c r="A10" s="71" t="s">
        <v>1413</v>
      </c>
      <c r="B10" s="26"/>
      <c r="C10" s="26"/>
      <c r="D10" s="26">
        <f t="shared" si="0"/>
        <v>0</v>
      </c>
      <c r="E10" s="48"/>
      <c r="F10" s="54"/>
      <c r="G10" s="54"/>
      <c r="H10" s="54"/>
      <c r="I10" s="54"/>
      <c r="J10" s="54"/>
    </row>
    <row r="11" ht="21" customHeight="1" spans="1:10">
      <c r="A11" s="71" t="s">
        <v>1414</v>
      </c>
      <c r="B11" s="26"/>
      <c r="C11" s="26"/>
      <c r="D11" s="26">
        <f t="shared" si="0"/>
        <v>0</v>
      </c>
      <c r="E11" s="48"/>
      <c r="F11" s="54"/>
      <c r="G11" s="54"/>
      <c r="H11" s="54"/>
      <c r="I11" s="54"/>
      <c r="J11" s="54"/>
    </row>
    <row r="12" ht="21" customHeight="1" spans="1:10">
      <c r="A12" s="71" t="s">
        <v>1415</v>
      </c>
      <c r="B12" s="26"/>
      <c r="C12" s="26"/>
      <c r="D12" s="26">
        <f t="shared" si="0"/>
        <v>0</v>
      </c>
      <c r="E12" s="48"/>
      <c r="F12" s="54"/>
      <c r="G12" s="54"/>
      <c r="H12" s="54"/>
      <c r="I12" s="54"/>
      <c r="J12" s="54"/>
    </row>
    <row r="13" ht="21" customHeight="1" spans="1:10">
      <c r="A13" s="71" t="s">
        <v>1416</v>
      </c>
      <c r="B13" s="26"/>
      <c r="C13" s="33"/>
      <c r="D13" s="26">
        <f t="shared" si="0"/>
        <v>0</v>
      </c>
      <c r="E13" s="48"/>
      <c r="F13" s="54"/>
      <c r="G13" s="54"/>
      <c r="H13" s="54"/>
      <c r="I13" s="54"/>
      <c r="J13" s="54"/>
    </row>
    <row r="14" ht="21" customHeight="1" spans="1:10">
      <c r="A14" s="71" t="s">
        <v>1417</v>
      </c>
      <c r="B14" s="26"/>
      <c r="C14" s="26"/>
      <c r="D14" s="26">
        <f t="shared" si="0"/>
        <v>0</v>
      </c>
      <c r="E14" s="48"/>
      <c r="F14" s="54"/>
      <c r="G14" s="54"/>
      <c r="H14" s="54"/>
      <c r="I14" s="54"/>
      <c r="J14" s="54"/>
    </row>
    <row r="15" ht="21" customHeight="1" spans="1:10">
      <c r="A15" s="71" t="s">
        <v>1418</v>
      </c>
      <c r="B15" s="26"/>
      <c r="C15" s="26"/>
      <c r="D15" s="26">
        <f t="shared" si="0"/>
        <v>0</v>
      </c>
      <c r="E15" s="48"/>
      <c r="F15" s="54"/>
      <c r="G15" s="54"/>
      <c r="H15" s="54"/>
      <c r="I15" s="54"/>
      <c r="J15" s="54"/>
    </row>
    <row r="16" ht="21" customHeight="1" spans="1:10">
      <c r="A16" s="71" t="s">
        <v>1419</v>
      </c>
      <c r="B16" s="26"/>
      <c r="C16" s="26"/>
      <c r="D16" s="26">
        <f t="shared" si="0"/>
        <v>0</v>
      </c>
      <c r="E16" s="48"/>
      <c r="F16" s="54"/>
      <c r="G16" s="54"/>
      <c r="H16" s="54"/>
      <c r="I16" s="54"/>
      <c r="J16" s="54"/>
    </row>
    <row r="17" ht="21" customHeight="1" spans="1:10">
      <c r="A17" s="71" t="s">
        <v>1420</v>
      </c>
      <c r="B17" s="26"/>
      <c r="C17" s="26"/>
      <c r="D17" s="26">
        <f t="shared" si="0"/>
        <v>0</v>
      </c>
      <c r="E17" s="48"/>
      <c r="F17" s="54"/>
      <c r="G17" s="54"/>
      <c r="H17" s="54"/>
      <c r="I17" s="54"/>
      <c r="J17" s="54"/>
    </row>
    <row r="18" s="3" customFormat="1" ht="21" customHeight="1" spans="1:10">
      <c r="A18" s="73" t="s">
        <v>1421</v>
      </c>
      <c r="B18" s="33">
        <f>B6+B9+B13+B16+B17</f>
        <v>164</v>
      </c>
      <c r="C18" s="33">
        <f>C6+C9+C13+C16+C17</f>
        <v>113</v>
      </c>
      <c r="D18" s="33">
        <f t="shared" si="0"/>
        <v>-51</v>
      </c>
      <c r="E18" s="47">
        <f>D18/B18*100</f>
        <v>-31.0975609756098</v>
      </c>
      <c r="F18" s="74"/>
      <c r="G18" s="74"/>
      <c r="H18" s="74"/>
      <c r="I18" s="74"/>
      <c r="J18" s="74"/>
    </row>
    <row r="19" ht="21" customHeight="1" spans="1:10">
      <c r="A19" s="71" t="s">
        <v>1422</v>
      </c>
      <c r="B19" s="26">
        <v>13</v>
      </c>
      <c r="C19" s="26"/>
      <c r="D19" s="26">
        <f t="shared" si="0"/>
        <v>-13</v>
      </c>
      <c r="E19" s="48">
        <f>D19/B19*100</f>
        <v>-100</v>
      </c>
      <c r="F19" s="54"/>
      <c r="G19" s="54"/>
      <c r="H19" s="54"/>
      <c r="I19" s="54"/>
      <c r="J19" s="54"/>
    </row>
    <row r="20" ht="21" customHeight="1" spans="1:10">
      <c r="A20" s="71" t="s">
        <v>1423</v>
      </c>
      <c r="B20" s="26">
        <v>62</v>
      </c>
      <c r="C20" s="26">
        <v>75</v>
      </c>
      <c r="D20" s="26">
        <f t="shared" si="0"/>
        <v>13</v>
      </c>
      <c r="E20" s="48">
        <f>D20/B20*100</f>
        <v>20.9677419354839</v>
      </c>
      <c r="F20" s="54"/>
      <c r="G20" s="54"/>
      <c r="H20" s="54"/>
      <c r="I20" s="54"/>
      <c r="J20" s="54"/>
    </row>
    <row r="21" s="3" customFormat="1" ht="21" customHeight="1" spans="1:10">
      <c r="A21" s="73" t="s">
        <v>147</v>
      </c>
      <c r="B21" s="33">
        <f>B18+B19+B20</f>
        <v>239</v>
      </c>
      <c r="C21" s="33">
        <f ca="1">SUM(C18:C18:C20)</f>
        <v>188</v>
      </c>
      <c r="D21" s="33">
        <f ca="1" t="shared" si="0"/>
        <v>-51</v>
      </c>
      <c r="E21" s="47">
        <f ca="1">D21/B21*100</f>
        <v>-21.3389121338912</v>
      </c>
      <c r="F21" s="74"/>
      <c r="G21" s="74"/>
      <c r="H21" s="74"/>
      <c r="I21" s="74"/>
      <c r="J21" s="74"/>
    </row>
    <row r="22" spans="1:10">
      <c r="A22" s="75"/>
      <c r="B22" s="76"/>
      <c r="C22" s="76"/>
      <c r="D22" s="76"/>
      <c r="E22" s="77"/>
      <c r="F22" s="75"/>
      <c r="G22" s="75"/>
      <c r="H22" s="75"/>
      <c r="I22" s="75"/>
      <c r="J22" s="75"/>
    </row>
    <row r="23" spans="1:10">
      <c r="A23" s="78"/>
      <c r="B23" s="79"/>
      <c r="C23" s="79"/>
      <c r="D23" s="79"/>
      <c r="E23" s="80"/>
      <c r="F23" s="78"/>
      <c r="G23" s="78"/>
      <c r="H23" s="78"/>
      <c r="I23" s="78"/>
      <c r="J23" s="78"/>
    </row>
  </sheetData>
  <mergeCells count="7">
    <mergeCell ref="A1:E1"/>
    <mergeCell ref="A2:E2"/>
    <mergeCell ref="C3:E3"/>
    <mergeCell ref="D4:E4"/>
    <mergeCell ref="A3:A5"/>
    <mergeCell ref="B3:B5"/>
    <mergeCell ref="C4:C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zoomScaleSheetLayoutView="60" workbookViewId="0">
      <selection activeCell="H11" sqref="H11"/>
    </sheetView>
  </sheetViews>
  <sheetFormatPr defaultColWidth="9" defaultRowHeight="14.25" outlineLevelCol="4"/>
  <cols>
    <col min="1" max="1" width="44.375" customWidth="1"/>
    <col min="2" max="4" width="15.625" style="4" customWidth="1"/>
    <col min="5" max="5" width="15.625" style="5" customWidth="1"/>
  </cols>
  <sheetData>
    <row r="1" ht="24" spans="1:5">
      <c r="A1" s="6" t="s">
        <v>1424</v>
      </c>
      <c r="B1" s="7"/>
      <c r="C1" s="7"/>
      <c r="D1" s="7"/>
      <c r="E1" s="8"/>
    </row>
    <row r="2" s="1" customFormat="1" ht="21" customHeight="1" spans="1:5">
      <c r="A2" s="9" t="s">
        <v>1385</v>
      </c>
      <c r="B2" s="10"/>
      <c r="C2" s="10"/>
      <c r="D2" s="10"/>
      <c r="E2" s="11"/>
    </row>
    <row r="3" s="2" customFormat="1" ht="21" customHeight="1" spans="1:5">
      <c r="A3" s="12" t="s">
        <v>1388</v>
      </c>
      <c r="B3" s="13" t="s">
        <v>1389</v>
      </c>
      <c r="C3" s="14" t="s">
        <v>1249</v>
      </c>
      <c r="D3" s="15"/>
      <c r="E3" s="16"/>
    </row>
    <row r="4" s="2" customFormat="1" ht="21" customHeight="1" spans="1:5">
      <c r="A4" s="12"/>
      <c r="B4" s="17"/>
      <c r="C4" s="18" t="s">
        <v>36</v>
      </c>
      <c r="D4" s="19" t="s">
        <v>1390</v>
      </c>
      <c r="E4" s="20"/>
    </row>
    <row r="5" s="2" customFormat="1" ht="21" customHeight="1" spans="1:5">
      <c r="A5" s="12"/>
      <c r="B5" s="21"/>
      <c r="C5" s="22"/>
      <c r="D5" s="23" t="s">
        <v>157</v>
      </c>
      <c r="E5" s="24" t="s">
        <v>39</v>
      </c>
    </row>
    <row r="6" ht="21" customHeight="1" spans="1:5">
      <c r="A6" s="44" t="s">
        <v>1425</v>
      </c>
      <c r="B6" s="26"/>
      <c r="C6" s="26"/>
      <c r="D6" s="26"/>
      <c r="E6" s="27"/>
    </row>
    <row r="7" ht="21" customHeight="1" spans="1:5">
      <c r="A7" s="45" t="s">
        <v>1426</v>
      </c>
      <c r="B7" s="26"/>
      <c r="C7" s="26"/>
      <c r="D7" s="26"/>
      <c r="E7" s="29"/>
    </row>
    <row r="8" ht="21" customHeight="1" spans="1:5">
      <c r="A8" s="45" t="s">
        <v>1427</v>
      </c>
      <c r="B8" s="26"/>
      <c r="C8" s="26"/>
      <c r="D8" s="26"/>
      <c r="E8" s="27"/>
    </row>
    <row r="9" ht="21" customHeight="1" spans="1:5">
      <c r="A9" s="45" t="s">
        <v>1428</v>
      </c>
      <c r="B9" s="26"/>
      <c r="C9" s="26"/>
      <c r="D9" s="26"/>
      <c r="E9" s="27"/>
    </row>
    <row r="10" ht="21" customHeight="1" spans="1:5">
      <c r="A10" s="44" t="s">
        <v>1429</v>
      </c>
      <c r="B10" s="26"/>
      <c r="C10" s="26"/>
      <c r="D10" s="26"/>
      <c r="E10" s="27"/>
    </row>
    <row r="11" ht="21" customHeight="1" spans="1:5">
      <c r="A11" s="44" t="s">
        <v>1430</v>
      </c>
      <c r="B11" s="26"/>
      <c r="C11" s="26"/>
      <c r="D11" s="26"/>
      <c r="E11" s="27"/>
    </row>
    <row r="12" ht="21" customHeight="1" spans="1:5">
      <c r="A12" s="44" t="s">
        <v>1431</v>
      </c>
      <c r="B12" s="26"/>
      <c r="C12" s="26"/>
      <c r="D12" s="26"/>
      <c r="E12" s="29"/>
    </row>
    <row r="13" ht="21" customHeight="1" spans="1:5">
      <c r="A13" s="45" t="s">
        <v>1432</v>
      </c>
      <c r="B13" s="26"/>
      <c r="C13" s="26"/>
      <c r="D13" s="26"/>
      <c r="E13" s="29"/>
    </row>
    <row r="14" ht="21" customHeight="1" spans="1:5">
      <c r="A14" s="45" t="s">
        <v>1433</v>
      </c>
      <c r="B14" s="26"/>
      <c r="C14" s="26"/>
      <c r="D14" s="26"/>
      <c r="E14" s="29"/>
    </row>
    <row r="15" ht="21" customHeight="1" spans="1:5">
      <c r="A15" s="45" t="s">
        <v>1434</v>
      </c>
      <c r="B15" s="26"/>
      <c r="C15" s="26"/>
      <c r="D15" s="26"/>
      <c r="E15" s="29"/>
    </row>
    <row r="16" ht="21" customHeight="1" spans="1:5">
      <c r="A16" s="44" t="s">
        <v>1435</v>
      </c>
      <c r="B16" s="26"/>
      <c r="C16" s="26"/>
      <c r="D16" s="26"/>
      <c r="E16" s="29"/>
    </row>
    <row r="17" ht="21" customHeight="1" spans="1:5">
      <c r="A17" s="45" t="s">
        <v>1436</v>
      </c>
      <c r="B17" s="26"/>
      <c r="C17" s="26"/>
      <c r="D17" s="26"/>
      <c r="E17" s="29"/>
    </row>
    <row r="18" ht="21" customHeight="1" spans="1:5">
      <c r="A18" s="45" t="s">
        <v>1437</v>
      </c>
      <c r="B18" s="26"/>
      <c r="C18" s="30"/>
      <c r="D18" s="26"/>
      <c r="E18" s="29"/>
    </row>
    <row r="19" ht="21" customHeight="1" spans="1:5">
      <c r="A19" s="45" t="s">
        <v>1438</v>
      </c>
      <c r="B19" s="26"/>
      <c r="C19" s="26"/>
      <c r="D19" s="26"/>
      <c r="E19" s="29"/>
    </row>
    <row r="20" ht="21" customHeight="1" spans="1:5">
      <c r="A20" s="46" t="s">
        <v>1439</v>
      </c>
      <c r="B20" s="26"/>
      <c r="C20" s="26"/>
      <c r="D20" s="26"/>
      <c r="E20" s="29"/>
    </row>
    <row r="21" s="3" customFormat="1" ht="21" customHeight="1" spans="1:5">
      <c r="A21" s="32" t="s">
        <v>1440</v>
      </c>
      <c r="B21" s="33">
        <f>B22+B23+B24</f>
        <v>239</v>
      </c>
      <c r="C21" s="33">
        <f>C22+C23+C24</f>
        <v>188</v>
      </c>
      <c r="D21" s="33">
        <f>C21-B21</f>
        <v>-51</v>
      </c>
      <c r="E21" s="47">
        <f>D21/B21*100</f>
        <v>-21.3389121338912</v>
      </c>
    </row>
    <row r="22" ht="21" customHeight="1" spans="1:5">
      <c r="A22" s="45" t="s">
        <v>1441</v>
      </c>
      <c r="B22" s="26"/>
      <c r="C22" s="26"/>
      <c r="D22" s="26"/>
      <c r="E22" s="48"/>
    </row>
    <row r="23" ht="21" customHeight="1" spans="1:5">
      <c r="A23" s="45" t="s">
        <v>1442</v>
      </c>
      <c r="B23" s="26">
        <v>164</v>
      </c>
      <c r="C23" s="30">
        <v>113</v>
      </c>
      <c r="D23" s="26">
        <v>-51</v>
      </c>
      <c r="E23" s="48">
        <v>-31.0975609756098</v>
      </c>
    </row>
    <row r="24" ht="21" customHeight="1" spans="1:5">
      <c r="A24" s="49" t="s">
        <v>1443</v>
      </c>
      <c r="B24" s="26">
        <f>62+13</f>
        <v>75</v>
      </c>
      <c r="C24" s="26">
        <v>75</v>
      </c>
      <c r="D24" s="26">
        <v>13</v>
      </c>
      <c r="E24" s="48">
        <v>20.9677419354839</v>
      </c>
    </row>
    <row r="25" ht="21" customHeight="1" spans="1:5">
      <c r="A25" s="50"/>
      <c r="B25" s="26"/>
      <c r="C25" s="26"/>
      <c r="D25" s="26"/>
      <c r="E25" s="48"/>
    </row>
    <row r="26" s="3" customFormat="1" ht="21" customHeight="1" spans="1:5">
      <c r="A26" s="38" t="s">
        <v>1382</v>
      </c>
      <c r="B26" s="39">
        <f>B6+B7+B21</f>
        <v>239</v>
      </c>
      <c r="C26" s="39">
        <f>C6+C7+C21</f>
        <v>188</v>
      </c>
      <c r="D26" s="33">
        <f>C26-B26</f>
        <v>-51</v>
      </c>
      <c r="E26" s="47">
        <f>D26/B26*100</f>
        <v>-21.3389121338912</v>
      </c>
    </row>
    <row r="27" ht="18.75" spans="1:5">
      <c r="A27" s="40"/>
      <c r="B27" s="41"/>
      <c r="C27" s="41"/>
      <c r="D27" s="42"/>
      <c r="E27" s="43"/>
    </row>
  </sheetData>
  <mergeCells count="7">
    <mergeCell ref="A1:E1"/>
    <mergeCell ref="A2:E2"/>
    <mergeCell ref="C3:E3"/>
    <mergeCell ref="D4:E4"/>
    <mergeCell ref="A3:A5"/>
    <mergeCell ref="B3:B5"/>
    <mergeCell ref="C4:C5"/>
  </mergeCell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I13" sqref="I13"/>
    </sheetView>
  </sheetViews>
  <sheetFormatPr defaultColWidth="9" defaultRowHeight="14.25" outlineLevelCol="4"/>
  <cols>
    <col min="1" max="1" width="44.375" customWidth="1"/>
    <col min="2" max="4" width="15.625" style="4" customWidth="1"/>
    <col min="5" max="5" width="15.625" style="5" customWidth="1"/>
  </cols>
  <sheetData>
    <row r="1" ht="33" customHeight="1" spans="1:5">
      <c r="A1" s="6" t="s">
        <v>1444</v>
      </c>
      <c r="B1" s="7"/>
      <c r="C1" s="7"/>
      <c r="D1" s="7"/>
      <c r="E1" s="8"/>
    </row>
    <row r="2" s="1" customFormat="1" ht="21" customHeight="1" spans="1:5">
      <c r="A2" s="9" t="s">
        <v>1385</v>
      </c>
      <c r="B2" s="10"/>
      <c r="C2" s="10"/>
      <c r="D2" s="10"/>
      <c r="E2" s="11"/>
    </row>
    <row r="3" s="2" customFormat="1" ht="21" customHeight="1" spans="1:5">
      <c r="A3" s="12" t="s">
        <v>1388</v>
      </c>
      <c r="B3" s="13" t="s">
        <v>1389</v>
      </c>
      <c r="C3" s="14" t="s">
        <v>1249</v>
      </c>
      <c r="D3" s="15"/>
      <c r="E3" s="16"/>
    </row>
    <row r="4" s="2" customFormat="1" ht="21" customHeight="1" spans="1:5">
      <c r="A4" s="12"/>
      <c r="B4" s="17"/>
      <c r="C4" s="18" t="s">
        <v>36</v>
      </c>
      <c r="D4" s="19" t="s">
        <v>1390</v>
      </c>
      <c r="E4" s="20"/>
    </row>
    <row r="5" s="2" customFormat="1" ht="21" customHeight="1" spans="1:5">
      <c r="A5" s="12"/>
      <c r="B5" s="21"/>
      <c r="C5" s="22"/>
      <c r="D5" s="23" t="s">
        <v>157</v>
      </c>
      <c r="E5" s="24" t="s">
        <v>39</v>
      </c>
    </row>
    <row r="6" ht="21" customHeight="1" spans="1:5">
      <c r="A6" s="25" t="s">
        <v>1445</v>
      </c>
      <c r="B6" s="26"/>
      <c r="C6" s="26"/>
      <c r="D6" s="26"/>
      <c r="E6" s="27"/>
    </row>
    <row r="7" ht="21" customHeight="1" spans="1:5">
      <c r="A7" s="28" t="s">
        <v>1446</v>
      </c>
      <c r="B7" s="26"/>
      <c r="C7" s="26"/>
      <c r="D7" s="26"/>
      <c r="E7" s="29"/>
    </row>
    <row r="8" ht="21" customHeight="1" spans="1:5">
      <c r="A8" s="28" t="s">
        <v>1447</v>
      </c>
      <c r="B8" s="26"/>
      <c r="C8" s="26"/>
      <c r="D8" s="26"/>
      <c r="E8" s="27"/>
    </row>
    <row r="9" ht="21" customHeight="1" spans="1:5">
      <c r="A9" s="28" t="s">
        <v>1448</v>
      </c>
      <c r="B9" s="26"/>
      <c r="C9" s="26"/>
      <c r="D9" s="26"/>
      <c r="E9" s="27"/>
    </row>
    <row r="10" ht="21" customHeight="1" spans="1:5">
      <c r="A10" s="25" t="s">
        <v>1449</v>
      </c>
      <c r="B10" s="26"/>
      <c r="C10" s="26"/>
      <c r="D10" s="26"/>
      <c r="E10" s="27"/>
    </row>
    <row r="11" ht="21" customHeight="1" spans="1:5">
      <c r="A11" s="25" t="s">
        <v>1450</v>
      </c>
      <c r="B11" s="26"/>
      <c r="C11" s="26"/>
      <c r="D11" s="26"/>
      <c r="E11" s="27"/>
    </row>
    <row r="12" ht="21" customHeight="1" spans="1:5">
      <c r="A12" s="25" t="s">
        <v>1451</v>
      </c>
      <c r="B12" s="26"/>
      <c r="C12" s="26"/>
      <c r="D12" s="26"/>
      <c r="E12" s="29"/>
    </row>
    <row r="13" ht="21" customHeight="1" spans="1:5">
      <c r="A13" s="28" t="s">
        <v>1452</v>
      </c>
      <c r="B13" s="26"/>
      <c r="C13" s="26"/>
      <c r="D13" s="26"/>
      <c r="E13" s="29"/>
    </row>
    <row r="14" ht="21" customHeight="1" spans="1:5">
      <c r="A14" s="28" t="s">
        <v>1453</v>
      </c>
      <c r="B14" s="26"/>
      <c r="C14" s="26"/>
      <c r="D14" s="26"/>
      <c r="E14" s="29"/>
    </row>
    <row r="15" ht="21" customHeight="1" spans="1:5">
      <c r="A15" s="28" t="s">
        <v>1454</v>
      </c>
      <c r="B15" s="26"/>
      <c r="C15" s="26"/>
      <c r="D15" s="26"/>
      <c r="E15" s="29"/>
    </row>
    <row r="16" ht="21" customHeight="1" spans="1:5">
      <c r="A16" s="25" t="s">
        <v>1455</v>
      </c>
      <c r="B16" s="26"/>
      <c r="C16" s="26"/>
      <c r="D16" s="26"/>
      <c r="E16" s="29"/>
    </row>
    <row r="17" ht="21" customHeight="1" spans="1:5">
      <c r="A17" s="28" t="s">
        <v>1456</v>
      </c>
      <c r="B17" s="26"/>
      <c r="C17" s="26"/>
      <c r="D17" s="26"/>
      <c r="E17" s="29"/>
    </row>
    <row r="18" ht="21" customHeight="1" spans="1:5">
      <c r="A18" s="28" t="s">
        <v>1457</v>
      </c>
      <c r="B18" s="26"/>
      <c r="C18" s="30"/>
      <c r="D18" s="26"/>
      <c r="E18" s="29"/>
    </row>
    <row r="19" ht="21" customHeight="1" spans="1:5">
      <c r="A19" s="28" t="s">
        <v>1458</v>
      </c>
      <c r="B19" s="26"/>
      <c r="C19" s="26"/>
      <c r="D19" s="26"/>
      <c r="E19" s="29"/>
    </row>
    <row r="20" ht="21" customHeight="1" spans="1:5">
      <c r="A20" s="31" t="s">
        <v>1459</v>
      </c>
      <c r="B20" s="26"/>
      <c r="C20" s="26"/>
      <c r="D20" s="26"/>
      <c r="E20" s="29"/>
    </row>
    <row r="21" s="3" customFormat="1" ht="21" customHeight="1" spans="1:5">
      <c r="A21" s="32" t="s">
        <v>1440</v>
      </c>
      <c r="B21" s="33">
        <f>B22+B23+B24</f>
        <v>239</v>
      </c>
      <c r="C21" s="33">
        <f>C22+C23+C24</f>
        <v>188</v>
      </c>
      <c r="D21" s="33">
        <f>C21-B21</f>
        <v>-51</v>
      </c>
      <c r="E21" s="34">
        <f>D21/B21*100</f>
        <v>-21.3389121338912</v>
      </c>
    </row>
    <row r="22" ht="21" customHeight="1" spans="1:5">
      <c r="A22" s="28" t="s">
        <v>1460</v>
      </c>
      <c r="B22" s="26"/>
      <c r="C22" s="26"/>
      <c r="D22" s="26"/>
      <c r="E22" s="29"/>
    </row>
    <row r="23" ht="21" customHeight="1" spans="1:5">
      <c r="A23" s="28" t="s">
        <v>1461</v>
      </c>
      <c r="B23" s="26">
        <v>164</v>
      </c>
      <c r="C23" s="30">
        <v>113</v>
      </c>
      <c r="D23" s="26">
        <f>C23-B23</f>
        <v>-51</v>
      </c>
      <c r="E23" s="29">
        <f>D23/B23*100</f>
        <v>-31.0975609756098</v>
      </c>
    </row>
    <row r="24" ht="21" customHeight="1" spans="1:5">
      <c r="A24" s="35" t="s">
        <v>1462</v>
      </c>
      <c r="B24" s="26">
        <f>62+13</f>
        <v>75</v>
      </c>
      <c r="C24" s="36">
        <v>75</v>
      </c>
      <c r="D24" s="26">
        <f>C24-B24</f>
        <v>0</v>
      </c>
      <c r="E24" s="29">
        <f>D24/B24*100</f>
        <v>0</v>
      </c>
    </row>
    <row r="25" ht="21" customHeight="1" spans="1:5">
      <c r="A25" s="37"/>
      <c r="B25" s="26"/>
      <c r="C25" s="26"/>
      <c r="D25" s="26"/>
      <c r="E25" s="29"/>
    </row>
    <row r="26" s="3" customFormat="1" ht="21" customHeight="1" spans="1:5">
      <c r="A26" s="38" t="s">
        <v>1382</v>
      </c>
      <c r="B26" s="39">
        <f>B6+B7+B21</f>
        <v>239</v>
      </c>
      <c r="C26" s="39">
        <f>C6+C7+C21</f>
        <v>188</v>
      </c>
      <c r="D26" s="33">
        <f>C26-B26</f>
        <v>-51</v>
      </c>
      <c r="E26" s="34">
        <f>D26/B26*100</f>
        <v>-21.3389121338912</v>
      </c>
    </row>
    <row r="27" ht="18.75" spans="1:5">
      <c r="A27" s="40"/>
      <c r="B27" s="41"/>
      <c r="C27" s="41"/>
      <c r="D27" s="42"/>
      <c r="E27" s="43"/>
    </row>
  </sheetData>
  <mergeCells count="7">
    <mergeCell ref="A1:E1"/>
    <mergeCell ref="A2:E2"/>
    <mergeCell ref="C3:E3"/>
    <mergeCell ref="D4:E4"/>
    <mergeCell ref="A3:A5"/>
    <mergeCell ref="B3:B5"/>
    <mergeCell ref="C4:C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2" workbookViewId="0">
      <selection activeCell="H17" sqref="H17"/>
    </sheetView>
  </sheetViews>
  <sheetFormatPr defaultColWidth="9" defaultRowHeight="13.5" outlineLevelCol="6"/>
  <cols>
    <col min="1" max="1" width="9" style="507"/>
    <col min="2" max="2" width="61.5" style="507" customWidth="1"/>
    <col min="3" max="16384" width="9" style="507"/>
  </cols>
  <sheetData>
    <row r="1" s="507" customFormat="1" ht="25.5" customHeight="1" spans="1:7">
      <c r="A1" s="508" t="s">
        <v>3</v>
      </c>
      <c r="B1" s="509"/>
      <c r="C1" s="509"/>
      <c r="D1" s="509"/>
      <c r="E1" s="509"/>
      <c r="F1" s="509"/>
      <c r="G1" s="509"/>
    </row>
    <row r="2" s="507" customFormat="1" ht="25.5" customHeight="1" spans="1:7">
      <c r="A2" s="510" t="s">
        <v>4</v>
      </c>
    </row>
    <row r="3" s="507" customFormat="1" ht="25.5" customHeight="1" spans="1:7">
      <c r="B3" s="507" t="s">
        <v>5</v>
      </c>
    </row>
    <row r="4" s="507" customFormat="1" ht="25.5" customHeight="1" spans="1:7">
      <c r="B4" s="507" t="s">
        <v>6</v>
      </c>
    </row>
    <row r="5" s="507" customFormat="1" ht="25.5" customHeight="1" spans="1:7">
      <c r="B5" s="507" t="s">
        <v>7</v>
      </c>
    </row>
    <row r="6" s="507" customFormat="1" ht="25.5" customHeight="1" spans="1:7">
      <c r="B6" s="507" t="s">
        <v>8</v>
      </c>
    </row>
    <row r="7" s="507" customFormat="1" ht="25.5" customHeight="1" spans="1:7">
      <c r="B7" s="507" t="s">
        <v>9</v>
      </c>
    </row>
    <row r="8" s="507" customFormat="1" ht="25.5" customHeight="1" spans="1:7">
      <c r="B8" s="507" t="s">
        <v>10</v>
      </c>
    </row>
    <row r="9" s="507" customFormat="1" ht="25.5" customHeight="1" spans="1:7">
      <c r="A9" s="510" t="s">
        <v>11</v>
      </c>
    </row>
    <row r="10" s="507" customFormat="1" ht="25.5" customHeight="1" spans="1:7">
      <c r="B10" s="507" t="s">
        <v>12</v>
      </c>
    </row>
    <row r="11" s="507" customFormat="1" ht="25.5" customHeight="1" spans="1:7">
      <c r="B11" s="507" t="s">
        <v>13</v>
      </c>
    </row>
    <row r="12" s="507" customFormat="1" ht="25.5" customHeight="1" spans="1:7">
      <c r="B12" s="507" t="s">
        <v>14</v>
      </c>
    </row>
    <row r="13" s="507" customFormat="1" ht="25.5" customHeight="1" spans="1:7">
      <c r="B13" s="507" t="s">
        <v>15</v>
      </c>
    </row>
    <row r="14" s="507" customFormat="1" ht="25.5" customHeight="1" spans="1:7">
      <c r="B14" s="507" t="s">
        <v>16</v>
      </c>
    </row>
    <row r="15" s="507" customFormat="1" ht="25.5" customHeight="1" spans="1:7">
      <c r="A15" s="510" t="s">
        <v>17</v>
      </c>
    </row>
    <row r="16" s="507" customFormat="1" ht="25.5" customHeight="1" spans="1:7">
      <c r="B16" s="507" t="s">
        <v>18</v>
      </c>
    </row>
    <row r="17" s="507" customFormat="1" ht="25.5" customHeight="1" spans="1:2">
      <c r="B17" s="507" t="s">
        <v>19</v>
      </c>
    </row>
    <row r="18" s="507" customFormat="1" ht="25.5" customHeight="1" spans="1:2">
      <c r="B18" s="507" t="s">
        <v>20</v>
      </c>
    </row>
    <row r="19" s="507" customFormat="1" ht="25.5" customHeight="1" spans="1:2">
      <c r="A19" s="510" t="s">
        <v>21</v>
      </c>
    </row>
    <row r="20" s="507" customFormat="1" ht="25.5" customHeight="1" spans="1:2">
      <c r="B20" s="507" t="s">
        <v>22</v>
      </c>
    </row>
    <row r="21" s="507" customFormat="1" ht="25.5" customHeight="1" spans="1:2">
      <c r="B21" s="507" t="s">
        <v>23</v>
      </c>
    </row>
    <row r="22" s="507" customFormat="1" ht="25.5" customHeight="1" spans="1:2">
      <c r="B22" s="507" t="s">
        <v>24</v>
      </c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4"/>
  <sheetViews>
    <sheetView showZeros="0" zoomScale="115" zoomScaleNormal="115" zoomScaleSheetLayoutView="60" workbookViewId="0">
      <pane xSplit="1" ySplit="5" topLeftCell="B100" activePane="bottomRight" state="frozen"/>
      <selection/>
      <selection pane="topRight"/>
      <selection pane="bottomLeft"/>
      <selection pane="bottomRight" activeCell="N79" sqref="N79"/>
    </sheetView>
  </sheetViews>
  <sheetFormatPr defaultColWidth="9" defaultRowHeight="15.75"/>
  <cols>
    <col min="1" max="1" width="47.5" style="278" customWidth="1"/>
    <col min="2" max="4" width="10.625" style="354" customWidth="1"/>
    <col min="5" max="5" width="10.625" style="193" customWidth="1"/>
    <col min="6" max="6" width="10.625" style="477" customWidth="1"/>
    <col min="7" max="7" width="10.625" style="193" customWidth="1"/>
    <col min="8" max="8" width="10.625" style="354" customWidth="1"/>
    <col min="9" max="9" width="10.625" style="477" customWidth="1"/>
    <col min="10" max="10" width="10.625" style="193" customWidth="1"/>
    <col min="11" max="16384" width="9" style="278"/>
  </cols>
  <sheetData>
    <row r="1" ht="24" spans="1:21">
      <c r="A1" s="478" t="s">
        <v>25</v>
      </c>
      <c r="B1" s="479"/>
      <c r="C1" s="479"/>
      <c r="D1" s="479"/>
      <c r="E1" s="480"/>
      <c r="F1" s="481"/>
      <c r="G1" s="480"/>
      <c r="H1" s="479"/>
      <c r="I1" s="481"/>
      <c r="J1" s="480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</row>
    <row r="2" spans="1:21">
      <c r="A2" s="482"/>
      <c r="B2" s="483"/>
      <c r="C2" s="484"/>
      <c r="D2" s="484"/>
      <c r="E2" s="485"/>
      <c r="F2" s="486"/>
      <c r="G2" s="485"/>
      <c r="H2" s="484"/>
      <c r="I2" s="289" t="s">
        <v>26</v>
      </c>
      <c r="J2" s="290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</row>
    <row r="3" s="353" customFormat="1" ht="20" customHeight="1" spans="1:21">
      <c r="A3" s="291" t="s">
        <v>27</v>
      </c>
      <c r="B3" s="292" t="s">
        <v>28</v>
      </c>
      <c r="C3" s="292" t="s">
        <v>29</v>
      </c>
      <c r="D3" s="292"/>
      <c r="E3" s="293"/>
      <c r="F3" s="294"/>
      <c r="G3" s="293"/>
      <c r="H3" s="292" t="s">
        <v>30</v>
      </c>
      <c r="I3" s="294"/>
      <c r="J3" s="293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</row>
    <row r="4" s="353" customFormat="1" ht="20" customHeight="1" spans="1:21">
      <c r="A4" s="291"/>
      <c r="B4" s="296" t="s">
        <v>31</v>
      </c>
      <c r="C4" s="292" t="s">
        <v>32</v>
      </c>
      <c r="D4" s="292" t="s">
        <v>33</v>
      </c>
      <c r="E4" s="293" t="s">
        <v>34</v>
      </c>
      <c r="F4" s="294" t="s">
        <v>35</v>
      </c>
      <c r="G4" s="293"/>
      <c r="H4" s="488" t="s">
        <v>36</v>
      </c>
      <c r="I4" s="297" t="s">
        <v>37</v>
      </c>
      <c r="J4" s="293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</row>
    <row r="5" s="353" customFormat="1" ht="20" customHeight="1" spans="1:21">
      <c r="A5" s="291"/>
      <c r="B5" s="298"/>
      <c r="C5" s="292"/>
      <c r="D5" s="292"/>
      <c r="E5" s="293"/>
      <c r="F5" s="294" t="s">
        <v>38</v>
      </c>
      <c r="G5" s="293" t="s">
        <v>39</v>
      </c>
      <c r="H5" s="292"/>
      <c r="I5" s="294" t="s">
        <v>38</v>
      </c>
      <c r="J5" s="293" t="s">
        <v>39</v>
      </c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</row>
    <row r="6" s="277" customFormat="1" ht="20" customHeight="1" spans="1:21">
      <c r="A6" s="489" t="s">
        <v>40</v>
      </c>
      <c r="B6" s="303">
        <f>SUM(B7:B23)</f>
        <v>43720</v>
      </c>
      <c r="C6" s="312">
        <f>SUM(C7:C23)</f>
        <v>45816</v>
      </c>
      <c r="D6" s="303">
        <f>SUM(D7:D23)</f>
        <v>43718</v>
      </c>
      <c r="E6" s="490">
        <f>D6/C6*100</f>
        <v>95.4208136895408</v>
      </c>
      <c r="F6" s="491">
        <f>D6-B6</f>
        <v>-2</v>
      </c>
      <c r="G6" s="490"/>
      <c r="H6" s="303">
        <f>SUM(H7:H23)</f>
        <v>47190</v>
      </c>
      <c r="I6" s="491">
        <f>H6-D6</f>
        <v>3472</v>
      </c>
      <c r="J6" s="490">
        <f>I6/D6*100</f>
        <v>7.94180886591335</v>
      </c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</row>
    <row r="7" ht="20" customHeight="1" spans="1:21">
      <c r="A7" s="492" t="s">
        <v>41</v>
      </c>
      <c r="B7" s="309">
        <v>17544</v>
      </c>
      <c r="C7" s="309">
        <v>19422</v>
      </c>
      <c r="D7" s="309">
        <v>18284</v>
      </c>
      <c r="E7" s="493">
        <f t="shared" ref="E7:E38" si="0">D7/C7*100</f>
        <v>94.1406652250026</v>
      </c>
      <c r="F7" s="314">
        <f t="shared" ref="F7:F38" si="1">D7-B7</f>
        <v>740</v>
      </c>
      <c r="G7" s="493">
        <f>F7/B7*100</f>
        <v>4.21796625626995</v>
      </c>
      <c r="H7" s="308">
        <v>19200</v>
      </c>
      <c r="I7" s="314">
        <f t="shared" ref="I7:I38" si="2">H7-D7</f>
        <v>916</v>
      </c>
      <c r="J7" s="493">
        <f t="shared" ref="J7:J38" si="3">I7/D7*100</f>
        <v>5.00984467293809</v>
      </c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</row>
    <row r="8" ht="20" customHeight="1" spans="1:21">
      <c r="A8" s="492" t="s">
        <v>42</v>
      </c>
      <c r="B8" s="309"/>
      <c r="C8" s="309"/>
      <c r="D8" s="309"/>
      <c r="E8" s="493"/>
      <c r="F8" s="314">
        <f t="shared" si="1"/>
        <v>0</v>
      </c>
      <c r="G8" s="493"/>
      <c r="H8" s="308"/>
      <c r="I8" s="314">
        <f t="shared" si="2"/>
        <v>0</v>
      </c>
      <c r="J8" s="493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</row>
    <row r="9" ht="20" customHeight="1" spans="1:21">
      <c r="A9" s="492" t="s">
        <v>43</v>
      </c>
      <c r="B9" s="309">
        <v>4047</v>
      </c>
      <c r="C9" s="309">
        <v>4093</v>
      </c>
      <c r="D9" s="309">
        <v>4792</v>
      </c>
      <c r="E9" s="493">
        <f t="shared" si="0"/>
        <v>117.077937942829</v>
      </c>
      <c r="F9" s="314">
        <f t="shared" si="1"/>
        <v>745</v>
      </c>
      <c r="G9" s="493">
        <f t="shared" ref="G8:G39" si="4">F9/B9*100</f>
        <v>18.4086978008401</v>
      </c>
      <c r="H9" s="309">
        <v>4800</v>
      </c>
      <c r="I9" s="314">
        <f t="shared" si="2"/>
        <v>8</v>
      </c>
      <c r="J9" s="493">
        <f t="shared" si="3"/>
        <v>0.1669449081803</v>
      </c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</row>
    <row r="10" ht="20" customHeight="1" spans="1:21">
      <c r="A10" s="492" t="s">
        <v>44</v>
      </c>
      <c r="B10" s="309"/>
      <c r="C10" s="309"/>
      <c r="D10" s="309"/>
      <c r="E10" s="493"/>
      <c r="F10" s="314">
        <f t="shared" si="1"/>
        <v>0</v>
      </c>
      <c r="G10" s="493"/>
      <c r="H10" s="309"/>
      <c r="I10" s="314">
        <f t="shared" si="2"/>
        <v>0</v>
      </c>
      <c r="J10" s="493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</row>
    <row r="11" ht="20" customHeight="1" spans="1:21">
      <c r="A11" s="492" t="s">
        <v>45</v>
      </c>
      <c r="B11" s="309">
        <v>1282</v>
      </c>
      <c r="C11" s="309">
        <v>1263</v>
      </c>
      <c r="D11" s="309">
        <v>1095</v>
      </c>
      <c r="E11" s="493">
        <f t="shared" si="0"/>
        <v>86.6983372921615</v>
      </c>
      <c r="F11" s="314">
        <f t="shared" si="1"/>
        <v>-187</v>
      </c>
      <c r="G11" s="493">
        <f t="shared" si="4"/>
        <v>-14.5865834633385</v>
      </c>
      <c r="H11" s="308">
        <v>1325</v>
      </c>
      <c r="I11" s="314">
        <f t="shared" si="2"/>
        <v>230</v>
      </c>
      <c r="J11" s="493">
        <f t="shared" si="3"/>
        <v>21.0045662100457</v>
      </c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</row>
    <row r="12" ht="20" customHeight="1" spans="1:21">
      <c r="A12" s="492" t="s">
        <v>46</v>
      </c>
      <c r="B12" s="309">
        <v>822</v>
      </c>
      <c r="C12" s="309">
        <v>860</v>
      </c>
      <c r="D12" s="309">
        <v>1207</v>
      </c>
      <c r="E12" s="493">
        <f t="shared" si="0"/>
        <v>140.348837209302</v>
      </c>
      <c r="F12" s="314">
        <f t="shared" si="1"/>
        <v>385</v>
      </c>
      <c r="G12" s="493">
        <f t="shared" si="4"/>
        <v>46.8369829683698</v>
      </c>
      <c r="H12" s="308">
        <v>1500</v>
      </c>
      <c r="I12" s="314">
        <f t="shared" si="2"/>
        <v>293</v>
      </c>
      <c r="J12" s="493">
        <f t="shared" si="3"/>
        <v>24.2750621375311</v>
      </c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</row>
    <row r="13" ht="20" customHeight="1" spans="1:21">
      <c r="A13" s="492" t="s">
        <v>47</v>
      </c>
      <c r="B13" s="309">
        <v>2369</v>
      </c>
      <c r="C13" s="309">
        <v>2800</v>
      </c>
      <c r="D13" s="309">
        <v>2553</v>
      </c>
      <c r="E13" s="493">
        <f t="shared" si="0"/>
        <v>91.1785714285714</v>
      </c>
      <c r="F13" s="314">
        <f t="shared" si="1"/>
        <v>184</v>
      </c>
      <c r="G13" s="493">
        <f t="shared" si="4"/>
        <v>7.76699029126214</v>
      </c>
      <c r="H13" s="308">
        <v>3000</v>
      </c>
      <c r="I13" s="314">
        <f t="shared" si="2"/>
        <v>447</v>
      </c>
      <c r="J13" s="493">
        <f t="shared" si="3"/>
        <v>17.5088131609871</v>
      </c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</row>
    <row r="14" ht="20" customHeight="1" spans="1:21">
      <c r="A14" s="492" t="s">
        <v>48</v>
      </c>
      <c r="B14" s="309">
        <v>7015</v>
      </c>
      <c r="C14" s="309">
        <v>6400</v>
      </c>
      <c r="D14" s="309">
        <v>6193</v>
      </c>
      <c r="E14" s="493">
        <f t="shared" si="0"/>
        <v>96.765625</v>
      </c>
      <c r="F14" s="314">
        <f t="shared" si="1"/>
        <v>-822</v>
      </c>
      <c r="G14" s="493">
        <f t="shared" si="4"/>
        <v>-11.7177476835353</v>
      </c>
      <c r="H14" s="308">
        <v>7000</v>
      </c>
      <c r="I14" s="314">
        <f t="shared" si="2"/>
        <v>807</v>
      </c>
      <c r="J14" s="493">
        <f t="shared" si="3"/>
        <v>13.0308412724043</v>
      </c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</row>
    <row r="15" ht="20" customHeight="1" spans="1:21">
      <c r="A15" s="492" t="s">
        <v>49</v>
      </c>
      <c r="B15" s="309">
        <v>1621</v>
      </c>
      <c r="C15" s="309">
        <v>1100</v>
      </c>
      <c r="D15" s="309">
        <v>1398</v>
      </c>
      <c r="E15" s="493">
        <f t="shared" si="0"/>
        <v>127.090909090909</v>
      </c>
      <c r="F15" s="314">
        <f t="shared" si="1"/>
        <v>-223</v>
      </c>
      <c r="G15" s="493">
        <f t="shared" si="4"/>
        <v>-13.7569401603948</v>
      </c>
      <c r="H15" s="308">
        <v>1500</v>
      </c>
      <c r="I15" s="314">
        <f t="shared" si="2"/>
        <v>102</v>
      </c>
      <c r="J15" s="493">
        <f t="shared" si="3"/>
        <v>7.29613733905579</v>
      </c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</row>
    <row r="16" ht="20" customHeight="1" spans="1:21">
      <c r="A16" s="492" t="s">
        <v>50</v>
      </c>
      <c r="B16" s="309">
        <v>1895</v>
      </c>
      <c r="C16" s="309">
        <v>1600</v>
      </c>
      <c r="D16" s="309">
        <v>1914</v>
      </c>
      <c r="E16" s="493">
        <f t="shared" si="0"/>
        <v>119.625</v>
      </c>
      <c r="F16" s="314">
        <f t="shared" si="1"/>
        <v>19</v>
      </c>
      <c r="G16" s="493">
        <f t="shared" si="4"/>
        <v>1.00263852242744</v>
      </c>
      <c r="H16" s="308">
        <v>2000</v>
      </c>
      <c r="I16" s="314">
        <f t="shared" si="2"/>
        <v>86</v>
      </c>
      <c r="J16" s="493">
        <f t="shared" si="3"/>
        <v>4.4932079414838</v>
      </c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</row>
    <row r="17" ht="20" customHeight="1" spans="1:21">
      <c r="A17" s="492" t="s">
        <v>51</v>
      </c>
      <c r="B17" s="309">
        <v>1132</v>
      </c>
      <c r="C17" s="309">
        <v>1530</v>
      </c>
      <c r="D17" s="309">
        <v>1471</v>
      </c>
      <c r="E17" s="493">
        <f t="shared" si="0"/>
        <v>96.1437908496732</v>
      </c>
      <c r="F17" s="314">
        <f t="shared" si="1"/>
        <v>339</v>
      </c>
      <c r="G17" s="493">
        <f t="shared" si="4"/>
        <v>29.9469964664311</v>
      </c>
      <c r="H17" s="308">
        <v>1300</v>
      </c>
      <c r="I17" s="314">
        <f t="shared" si="2"/>
        <v>-171</v>
      </c>
      <c r="J17" s="493">
        <f t="shared" si="3"/>
        <v>-11.62474507138</v>
      </c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</row>
    <row r="18" ht="20" customHeight="1" spans="1:21">
      <c r="A18" s="492" t="s">
        <v>52</v>
      </c>
      <c r="B18" s="309">
        <v>1274</v>
      </c>
      <c r="C18" s="309">
        <v>1200</v>
      </c>
      <c r="D18" s="309">
        <v>1338</v>
      </c>
      <c r="E18" s="493">
        <f t="shared" si="0"/>
        <v>111.5</v>
      </c>
      <c r="F18" s="314">
        <f t="shared" si="1"/>
        <v>64</v>
      </c>
      <c r="G18" s="493">
        <f t="shared" si="4"/>
        <v>5.02354788069074</v>
      </c>
      <c r="H18" s="308">
        <v>1300</v>
      </c>
      <c r="I18" s="314">
        <f t="shared" si="2"/>
        <v>-38</v>
      </c>
      <c r="J18" s="493">
        <f t="shared" si="3"/>
        <v>-2.84005979073244</v>
      </c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</row>
    <row r="19" ht="20" customHeight="1" spans="1:21">
      <c r="A19" s="492" t="s">
        <v>53</v>
      </c>
      <c r="B19" s="309">
        <v>1876</v>
      </c>
      <c r="C19" s="309">
        <v>2136</v>
      </c>
      <c r="D19" s="309">
        <v>313</v>
      </c>
      <c r="E19" s="493">
        <f t="shared" si="0"/>
        <v>14.6535580524345</v>
      </c>
      <c r="F19" s="314">
        <f t="shared" si="1"/>
        <v>-1563</v>
      </c>
      <c r="G19" s="493">
        <f t="shared" si="4"/>
        <v>-83.3155650319829</v>
      </c>
      <c r="H19" s="308">
        <v>350</v>
      </c>
      <c r="I19" s="314">
        <f t="shared" si="2"/>
        <v>37</v>
      </c>
      <c r="J19" s="493">
        <f t="shared" si="3"/>
        <v>11.8210862619808</v>
      </c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</row>
    <row r="20" ht="20" customHeight="1" spans="1:21">
      <c r="A20" s="492" t="s">
        <v>54</v>
      </c>
      <c r="B20" s="309">
        <v>2662</v>
      </c>
      <c r="C20" s="309">
        <v>3230</v>
      </c>
      <c r="D20" s="309">
        <v>2931</v>
      </c>
      <c r="E20" s="493">
        <f t="shared" si="0"/>
        <v>90.7430340557276</v>
      </c>
      <c r="F20" s="314">
        <f t="shared" si="1"/>
        <v>269</v>
      </c>
      <c r="G20" s="493">
        <f t="shared" si="4"/>
        <v>10.1051840721262</v>
      </c>
      <c r="H20" s="308">
        <v>3670</v>
      </c>
      <c r="I20" s="314">
        <f t="shared" si="2"/>
        <v>739</v>
      </c>
      <c r="J20" s="493">
        <f t="shared" si="3"/>
        <v>25.2132378027977</v>
      </c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</row>
    <row r="21" ht="20" customHeight="1" spans="1:21">
      <c r="A21" s="492" t="s">
        <v>55</v>
      </c>
      <c r="B21" s="309"/>
      <c r="C21" s="309"/>
      <c r="D21" s="309"/>
      <c r="E21" s="493"/>
      <c r="F21" s="314">
        <f t="shared" si="1"/>
        <v>0</v>
      </c>
      <c r="G21" s="493"/>
      <c r="H21" s="309"/>
      <c r="I21" s="314">
        <f t="shared" si="2"/>
        <v>0</v>
      </c>
      <c r="J21" s="493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</row>
    <row r="22" ht="20" customHeight="1" spans="1:21">
      <c r="A22" s="492" t="s">
        <v>56</v>
      </c>
      <c r="B22" s="309">
        <v>181</v>
      </c>
      <c r="C22" s="309">
        <v>182</v>
      </c>
      <c r="D22" s="309">
        <v>214</v>
      </c>
      <c r="E22" s="493">
        <f t="shared" si="0"/>
        <v>117.582417582418</v>
      </c>
      <c r="F22" s="314">
        <f t="shared" si="1"/>
        <v>33</v>
      </c>
      <c r="G22" s="493">
        <f t="shared" si="4"/>
        <v>18.232044198895</v>
      </c>
      <c r="H22" s="308">
        <v>245</v>
      </c>
      <c r="I22" s="314">
        <f t="shared" si="2"/>
        <v>31</v>
      </c>
      <c r="J22" s="493">
        <f t="shared" si="3"/>
        <v>14.4859813084112</v>
      </c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</row>
    <row r="23" ht="20" customHeight="1" spans="1:21">
      <c r="A23" s="492" t="s">
        <v>57</v>
      </c>
      <c r="B23" s="309"/>
      <c r="C23" s="309"/>
      <c r="D23" s="309">
        <v>15</v>
      </c>
      <c r="E23" s="493"/>
      <c r="F23" s="314">
        <f t="shared" si="1"/>
        <v>15</v>
      </c>
      <c r="G23" s="493"/>
      <c r="H23" s="309"/>
      <c r="I23" s="314">
        <f t="shared" si="2"/>
        <v>-15</v>
      </c>
      <c r="J23" s="493">
        <f t="shared" si="3"/>
        <v>-100</v>
      </c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</row>
    <row r="24" s="277" customFormat="1" ht="20" customHeight="1" spans="1:21">
      <c r="A24" s="489" t="s">
        <v>58</v>
      </c>
      <c r="B24" s="312">
        <f>B25+B37+B38+B39+B40+B41+B42</f>
        <v>15121</v>
      </c>
      <c r="C24" s="312">
        <f>SUM(C25,C37:C42)</f>
        <v>15761.195286</v>
      </c>
      <c r="D24" s="312">
        <f>D25+D37+D38+D39+D40+D41+D42</f>
        <v>16001</v>
      </c>
      <c r="E24" s="490">
        <f t="shared" si="0"/>
        <v>101.521488120974</v>
      </c>
      <c r="F24" s="491">
        <f t="shared" si="1"/>
        <v>880</v>
      </c>
      <c r="G24" s="490">
        <f t="shared" si="4"/>
        <v>5.81972091792871</v>
      </c>
      <c r="H24" s="312">
        <f>H25+H37+H38+H39+H40+H41+H42</f>
        <v>15800</v>
      </c>
      <c r="I24" s="491">
        <f t="shared" si="2"/>
        <v>-201</v>
      </c>
      <c r="J24" s="490">
        <f t="shared" si="3"/>
        <v>-1.25617148928192</v>
      </c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</row>
    <row r="25" ht="20" customHeight="1" spans="1:21">
      <c r="A25" s="494" t="s">
        <v>59</v>
      </c>
      <c r="B25" s="309">
        <v>3051</v>
      </c>
      <c r="C25" s="314">
        <f>SUM(C26:C36)</f>
        <v>4000.195286</v>
      </c>
      <c r="D25" s="309">
        <v>3282</v>
      </c>
      <c r="E25" s="493">
        <f t="shared" si="0"/>
        <v>82.0459943914848</v>
      </c>
      <c r="F25" s="314">
        <f t="shared" si="1"/>
        <v>231</v>
      </c>
      <c r="G25" s="493">
        <f t="shared" si="4"/>
        <v>7.57128810226155</v>
      </c>
      <c r="H25" s="314">
        <f>SUM(H26:H36)</f>
        <v>6700</v>
      </c>
      <c r="I25" s="314">
        <f t="shared" si="2"/>
        <v>3418</v>
      </c>
      <c r="J25" s="493">
        <f t="shared" si="3"/>
        <v>104.143814747105</v>
      </c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</row>
    <row r="26" ht="20" customHeight="1" spans="1:21">
      <c r="A26" s="495" t="s">
        <v>60</v>
      </c>
      <c r="B26" s="317"/>
      <c r="C26" s="317"/>
      <c r="D26" s="317"/>
      <c r="E26" s="493"/>
      <c r="F26" s="314">
        <f t="shared" si="1"/>
        <v>0</v>
      </c>
      <c r="G26" s="493"/>
      <c r="H26" s="317"/>
      <c r="I26" s="314">
        <f t="shared" si="2"/>
        <v>0</v>
      </c>
      <c r="J26" s="493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</row>
    <row r="27" ht="20" customHeight="1" spans="1:21">
      <c r="A27" s="495" t="s">
        <v>61</v>
      </c>
      <c r="B27" s="317"/>
      <c r="C27" s="317"/>
      <c r="D27" s="317"/>
      <c r="E27" s="493"/>
      <c r="F27" s="314">
        <f t="shared" si="1"/>
        <v>0</v>
      </c>
      <c r="G27" s="493"/>
      <c r="H27" s="317"/>
      <c r="I27" s="314">
        <f t="shared" si="2"/>
        <v>0</v>
      </c>
      <c r="J27" s="493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</row>
    <row r="28" ht="20" customHeight="1" spans="1:21">
      <c r="A28" s="495" t="s">
        <v>62</v>
      </c>
      <c r="B28" s="317">
        <v>1400</v>
      </c>
      <c r="C28" s="317">
        <v>1512.370504</v>
      </c>
      <c r="D28" s="317">
        <v>1498</v>
      </c>
      <c r="E28" s="493">
        <f t="shared" si="0"/>
        <v>99.0498026798333</v>
      </c>
      <c r="F28" s="314">
        <f t="shared" si="1"/>
        <v>98</v>
      </c>
      <c r="G28" s="493">
        <f t="shared" si="4"/>
        <v>7</v>
      </c>
      <c r="H28" s="318">
        <v>900</v>
      </c>
      <c r="I28" s="314">
        <f t="shared" si="2"/>
        <v>-598</v>
      </c>
      <c r="J28" s="493">
        <f t="shared" si="3"/>
        <v>-39.9198931909212</v>
      </c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</row>
    <row r="29" ht="20" customHeight="1" spans="1:21">
      <c r="A29" s="319" t="s">
        <v>63</v>
      </c>
      <c r="B29" s="317"/>
      <c r="C29" s="317"/>
      <c r="D29" s="317"/>
      <c r="E29" s="493"/>
      <c r="F29" s="314">
        <f t="shared" si="1"/>
        <v>0</v>
      </c>
      <c r="G29" s="493"/>
      <c r="H29" s="318">
        <v>4500</v>
      </c>
      <c r="I29" s="314">
        <f t="shared" si="2"/>
        <v>4500</v>
      </c>
      <c r="J29" s="493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</row>
    <row r="30" ht="20" customHeight="1" spans="1:21">
      <c r="A30" s="319" t="s">
        <v>64</v>
      </c>
      <c r="B30" s="317">
        <v>933</v>
      </c>
      <c r="C30" s="317">
        <v>1008.70008</v>
      </c>
      <c r="D30" s="317">
        <v>999</v>
      </c>
      <c r="E30" s="493">
        <f t="shared" si="0"/>
        <v>99.0383583592062</v>
      </c>
      <c r="F30" s="314">
        <f t="shared" si="1"/>
        <v>66</v>
      </c>
      <c r="G30" s="493">
        <f t="shared" si="4"/>
        <v>7.07395498392283</v>
      </c>
      <c r="H30" s="318">
        <v>600</v>
      </c>
      <c r="I30" s="314">
        <f t="shared" si="2"/>
        <v>-399</v>
      </c>
      <c r="J30" s="493">
        <f t="shared" si="3"/>
        <v>-39.9399399399399</v>
      </c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</row>
    <row r="31" ht="20" customHeight="1" spans="1:21">
      <c r="A31" s="319" t="s">
        <v>65</v>
      </c>
      <c r="B31" s="317">
        <v>718</v>
      </c>
      <c r="C31" s="317">
        <f>785.377702-3.5</f>
        <v>781.877702</v>
      </c>
      <c r="D31" s="317">
        <v>785</v>
      </c>
      <c r="E31" s="493">
        <f t="shared" si="0"/>
        <v>100.399333296245</v>
      </c>
      <c r="F31" s="314">
        <f t="shared" si="1"/>
        <v>67</v>
      </c>
      <c r="G31" s="493">
        <f t="shared" si="4"/>
        <v>9.33147632311978</v>
      </c>
      <c r="H31" s="318">
        <v>700</v>
      </c>
      <c r="I31" s="314">
        <f t="shared" si="2"/>
        <v>-85</v>
      </c>
      <c r="J31" s="493">
        <f t="shared" si="3"/>
        <v>-10.828025477707</v>
      </c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</row>
    <row r="32" ht="20" customHeight="1" spans="1:21">
      <c r="A32" s="495" t="s">
        <v>66</v>
      </c>
      <c r="B32" s="317"/>
      <c r="C32" s="317"/>
      <c r="D32" s="317"/>
      <c r="E32" s="493"/>
      <c r="F32" s="314">
        <f t="shared" si="1"/>
        <v>0</v>
      </c>
      <c r="G32" s="493"/>
      <c r="H32" s="317"/>
      <c r="I32" s="314">
        <f t="shared" si="2"/>
        <v>0</v>
      </c>
      <c r="J32" s="493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</row>
    <row r="33" ht="20" customHeight="1" spans="1:21">
      <c r="A33" s="495" t="s">
        <v>67</v>
      </c>
      <c r="B33" s="317"/>
      <c r="C33" s="317"/>
      <c r="D33" s="317"/>
      <c r="E33" s="493"/>
      <c r="F33" s="314">
        <f t="shared" si="1"/>
        <v>0</v>
      </c>
      <c r="G33" s="493"/>
      <c r="H33" s="317"/>
      <c r="I33" s="314">
        <f t="shared" si="2"/>
        <v>0</v>
      </c>
      <c r="J33" s="493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</row>
    <row r="34" ht="20" customHeight="1" spans="1:21">
      <c r="A34" s="495" t="s">
        <v>68</v>
      </c>
      <c r="B34" s="317"/>
      <c r="C34" s="317"/>
      <c r="D34" s="317"/>
      <c r="E34" s="493"/>
      <c r="F34" s="314">
        <f t="shared" si="1"/>
        <v>0</v>
      </c>
      <c r="G34" s="493"/>
      <c r="H34" s="317"/>
      <c r="I34" s="314">
        <f t="shared" si="2"/>
        <v>0</v>
      </c>
      <c r="J34" s="493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</row>
    <row r="35" ht="20" customHeight="1" spans="1:21">
      <c r="A35" s="495" t="s">
        <v>69</v>
      </c>
      <c r="B35" s="317"/>
      <c r="C35" s="317">
        <f>700.747-3.5</f>
        <v>697.247</v>
      </c>
      <c r="D35" s="317"/>
      <c r="E35" s="493">
        <f t="shared" si="0"/>
        <v>0</v>
      </c>
      <c r="F35" s="314">
        <f t="shared" si="1"/>
        <v>0</v>
      </c>
      <c r="G35" s="493"/>
      <c r="H35" s="317"/>
      <c r="I35" s="314">
        <f t="shared" si="2"/>
        <v>0</v>
      </c>
      <c r="J35" s="493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</row>
    <row r="36" ht="20" customHeight="1" spans="1:21">
      <c r="A36" s="495" t="s">
        <v>70</v>
      </c>
      <c r="B36" s="317"/>
      <c r="C36" s="317"/>
      <c r="D36" s="317"/>
      <c r="E36" s="493"/>
      <c r="F36" s="314">
        <f t="shared" si="1"/>
        <v>0</v>
      </c>
      <c r="G36" s="493"/>
      <c r="H36" s="317"/>
      <c r="I36" s="314">
        <f t="shared" si="2"/>
        <v>0</v>
      </c>
      <c r="J36" s="493"/>
      <c r="K36" s="320"/>
      <c r="L36" s="287"/>
      <c r="M36" s="287"/>
      <c r="N36" s="287"/>
      <c r="O36" s="287"/>
      <c r="P36" s="287"/>
      <c r="Q36" s="287"/>
      <c r="R36" s="287"/>
      <c r="S36" s="287"/>
      <c r="T36" s="287"/>
      <c r="U36" s="287"/>
    </row>
    <row r="37" ht="20" customHeight="1" spans="1:21">
      <c r="A37" s="495" t="s">
        <v>71</v>
      </c>
      <c r="B37" s="309">
        <v>2900</v>
      </c>
      <c r="C37" s="309">
        <v>3400</v>
      </c>
      <c r="D37" s="309">
        <v>2835</v>
      </c>
      <c r="E37" s="493">
        <f t="shared" si="0"/>
        <v>83.3823529411765</v>
      </c>
      <c r="F37" s="314">
        <f t="shared" si="1"/>
        <v>-65</v>
      </c>
      <c r="G37" s="493">
        <f t="shared" si="4"/>
        <v>-2.24137931034483</v>
      </c>
      <c r="H37" s="308">
        <v>3200</v>
      </c>
      <c r="I37" s="314">
        <f t="shared" si="2"/>
        <v>365</v>
      </c>
      <c r="J37" s="493">
        <f t="shared" si="3"/>
        <v>12.8747795414462</v>
      </c>
      <c r="K37" s="320"/>
      <c r="L37" s="287"/>
      <c r="M37" s="287"/>
      <c r="N37" s="287"/>
      <c r="O37" s="287"/>
      <c r="P37" s="287"/>
      <c r="Q37" s="287"/>
      <c r="R37" s="287"/>
      <c r="S37" s="287"/>
      <c r="T37" s="287"/>
      <c r="U37" s="287"/>
    </row>
    <row r="38" ht="20" customHeight="1" spans="1:21">
      <c r="A38" s="495" t="s">
        <v>72</v>
      </c>
      <c r="B38" s="309">
        <v>3003</v>
      </c>
      <c r="C38" s="309">
        <v>3600</v>
      </c>
      <c r="D38" s="309">
        <v>4080</v>
      </c>
      <c r="E38" s="493">
        <f t="shared" si="0"/>
        <v>113.333333333333</v>
      </c>
      <c r="F38" s="314">
        <f t="shared" si="1"/>
        <v>1077</v>
      </c>
      <c r="G38" s="493">
        <f t="shared" si="4"/>
        <v>35.8641358641359</v>
      </c>
      <c r="H38" s="308">
        <v>2200</v>
      </c>
      <c r="I38" s="314">
        <f t="shared" si="2"/>
        <v>-1880</v>
      </c>
      <c r="J38" s="493">
        <f t="shared" si="3"/>
        <v>-46.078431372549</v>
      </c>
      <c r="K38" s="320"/>
      <c r="L38" s="287"/>
      <c r="M38" s="287"/>
      <c r="N38" s="287"/>
      <c r="O38" s="287"/>
      <c r="P38" s="287"/>
      <c r="Q38" s="287"/>
      <c r="R38" s="287"/>
      <c r="S38" s="287"/>
      <c r="T38" s="287"/>
      <c r="U38" s="287"/>
    </row>
    <row r="39" ht="20" customHeight="1" spans="1:21">
      <c r="A39" s="495" t="s">
        <v>73</v>
      </c>
      <c r="B39" s="309">
        <v>5923</v>
      </c>
      <c r="C39" s="309">
        <v>4261</v>
      </c>
      <c r="D39" s="309"/>
      <c r="E39" s="493">
        <f t="shared" ref="E39:E74" si="5">D39/C39*100</f>
        <v>0</v>
      </c>
      <c r="F39" s="314">
        <f t="shared" ref="F39:F70" si="6">D39-B39</f>
        <v>-5923</v>
      </c>
      <c r="G39" s="493">
        <f t="shared" si="4"/>
        <v>-100</v>
      </c>
      <c r="H39" s="309"/>
      <c r="I39" s="314">
        <f t="shared" ref="I39:I70" si="7">H39-D39</f>
        <v>0</v>
      </c>
      <c r="J39" s="493"/>
      <c r="K39" s="320"/>
      <c r="L39" s="287"/>
      <c r="M39" s="287"/>
      <c r="N39" s="287"/>
      <c r="O39" s="287"/>
      <c r="P39" s="287"/>
      <c r="Q39" s="287"/>
      <c r="R39" s="287"/>
      <c r="S39" s="287"/>
      <c r="T39" s="287"/>
      <c r="U39" s="287"/>
    </row>
    <row r="40" ht="20" customHeight="1" spans="1:21">
      <c r="A40" s="492" t="s">
        <v>74</v>
      </c>
      <c r="B40" s="309"/>
      <c r="C40" s="309"/>
      <c r="D40" s="309"/>
      <c r="E40" s="493"/>
      <c r="F40" s="314">
        <f t="shared" si="6"/>
        <v>0</v>
      </c>
      <c r="G40" s="493"/>
      <c r="H40" s="308">
        <v>3700</v>
      </c>
      <c r="I40" s="314">
        <f t="shared" si="7"/>
        <v>3700</v>
      </c>
      <c r="J40" s="493"/>
      <c r="K40" s="320"/>
      <c r="L40" s="287"/>
      <c r="M40" s="287"/>
      <c r="N40" s="287"/>
      <c r="O40" s="287"/>
      <c r="P40" s="287"/>
      <c r="Q40" s="287"/>
      <c r="R40" s="287"/>
      <c r="S40" s="287"/>
      <c r="T40" s="287"/>
      <c r="U40" s="287"/>
    </row>
    <row r="41" ht="20" customHeight="1" spans="1:21">
      <c r="A41" s="492" t="s">
        <v>75</v>
      </c>
      <c r="B41" s="309">
        <v>244</v>
      </c>
      <c r="C41" s="309">
        <v>500</v>
      </c>
      <c r="D41" s="309">
        <v>5750</v>
      </c>
      <c r="E41" s="493">
        <f t="shared" si="5"/>
        <v>1150</v>
      </c>
      <c r="F41" s="314">
        <f t="shared" si="6"/>
        <v>5506</v>
      </c>
      <c r="G41" s="493">
        <f t="shared" ref="G40:G71" si="8">F41/B41*100</f>
        <v>2256.55737704918</v>
      </c>
      <c r="H41" s="309"/>
      <c r="I41" s="314">
        <f t="shared" si="7"/>
        <v>-5750</v>
      </c>
      <c r="J41" s="493">
        <f t="shared" ref="J39:J70" si="9">I41/D41*100</f>
        <v>-100</v>
      </c>
      <c r="K41" s="320"/>
      <c r="L41" s="287"/>
      <c r="M41" s="287"/>
      <c r="N41" s="287"/>
      <c r="O41" s="287"/>
      <c r="P41" s="287"/>
      <c r="Q41" s="287"/>
      <c r="R41" s="287"/>
      <c r="S41" s="287"/>
      <c r="T41" s="287"/>
      <c r="U41" s="287"/>
    </row>
    <row r="42" ht="20" customHeight="1" spans="1:21">
      <c r="A42" s="495" t="s">
        <v>76</v>
      </c>
      <c r="B42" s="309"/>
      <c r="C42" s="317"/>
      <c r="D42" s="309">
        <v>54</v>
      </c>
      <c r="E42" s="493"/>
      <c r="F42" s="314">
        <f t="shared" si="6"/>
        <v>54</v>
      </c>
      <c r="G42" s="493"/>
      <c r="H42" s="317"/>
      <c r="I42" s="314">
        <f t="shared" si="7"/>
        <v>-54</v>
      </c>
      <c r="J42" s="493">
        <f t="shared" si="9"/>
        <v>-100</v>
      </c>
      <c r="K42" s="320"/>
      <c r="L42" s="287"/>
      <c r="M42" s="287"/>
      <c r="N42" s="287"/>
      <c r="O42" s="287"/>
      <c r="P42" s="287"/>
      <c r="Q42" s="287"/>
      <c r="R42" s="287"/>
      <c r="S42" s="287"/>
      <c r="T42" s="287"/>
      <c r="U42" s="287"/>
    </row>
    <row r="43" s="277" customFormat="1" ht="20" customHeight="1" spans="1:21">
      <c r="A43" s="321" t="s">
        <v>77</v>
      </c>
      <c r="B43" s="312">
        <f>B6+B24</f>
        <v>58841</v>
      </c>
      <c r="C43" s="312">
        <f>C6+C24</f>
        <v>61577.195286</v>
      </c>
      <c r="D43" s="312">
        <f>D6+D24</f>
        <v>59719</v>
      </c>
      <c r="E43" s="490">
        <f t="shared" si="5"/>
        <v>96.9823320510629</v>
      </c>
      <c r="F43" s="491">
        <f t="shared" si="6"/>
        <v>878</v>
      </c>
      <c r="G43" s="490">
        <f t="shared" si="8"/>
        <v>1.49215682942166</v>
      </c>
      <c r="H43" s="312">
        <f>H6+H24</f>
        <v>62990</v>
      </c>
      <c r="I43" s="491">
        <f t="shared" si="7"/>
        <v>3271</v>
      </c>
      <c r="J43" s="490">
        <f t="shared" si="9"/>
        <v>5.47731877626886</v>
      </c>
      <c r="K43" s="322"/>
      <c r="L43" s="304"/>
      <c r="M43" s="304"/>
      <c r="N43" s="304"/>
      <c r="O43" s="304"/>
      <c r="P43" s="304"/>
      <c r="Q43" s="304"/>
      <c r="R43" s="304"/>
      <c r="S43" s="304"/>
      <c r="T43" s="304"/>
      <c r="U43" s="304"/>
    </row>
    <row r="44" s="277" customFormat="1" ht="20" customHeight="1" spans="1:21">
      <c r="A44" s="323" t="s">
        <v>78</v>
      </c>
      <c r="B44" s="312">
        <f>B45+B106+B107+B111+B112</f>
        <v>249225.458385</v>
      </c>
      <c r="C44" s="312">
        <f>C45+C106+C107+C112+C111</f>
        <v>178173.104</v>
      </c>
      <c r="D44" s="312">
        <f>D45+D106+D107+D112+D111</f>
        <v>265256.44</v>
      </c>
      <c r="E44" s="490">
        <f t="shared" si="5"/>
        <v>148.875691136862</v>
      </c>
      <c r="F44" s="491">
        <f t="shared" si="6"/>
        <v>16030.981615</v>
      </c>
      <c r="G44" s="490">
        <f t="shared" si="8"/>
        <v>6.43232104732878</v>
      </c>
      <c r="H44" s="312">
        <f>H45+H106+H107+H111+H112</f>
        <v>210138.43</v>
      </c>
      <c r="I44" s="491">
        <f t="shared" si="7"/>
        <v>-55118.01</v>
      </c>
      <c r="J44" s="490">
        <f t="shared" si="9"/>
        <v>-20.779141120947</v>
      </c>
      <c r="K44" s="322"/>
      <c r="L44" s="304"/>
      <c r="M44" s="304"/>
      <c r="N44" s="304"/>
      <c r="O44" s="304"/>
      <c r="P44" s="304"/>
      <c r="Q44" s="304"/>
      <c r="R44" s="304"/>
      <c r="S44" s="304"/>
      <c r="T44" s="304"/>
      <c r="U44" s="304"/>
    </row>
    <row r="45" s="278" customFormat="1" ht="20" customHeight="1" spans="1:21">
      <c r="A45" s="324" t="s">
        <v>79</v>
      </c>
      <c r="B45" s="496">
        <f>B46+B51+B84</f>
        <v>186555.458385</v>
      </c>
      <c r="C45" s="496">
        <f>C46+C51+C84</f>
        <v>151350.104</v>
      </c>
      <c r="D45" s="496">
        <f>D46+D51+D84</f>
        <v>225518.44</v>
      </c>
      <c r="E45" s="493">
        <f t="shared" si="5"/>
        <v>149.004483009804</v>
      </c>
      <c r="F45" s="314">
        <f t="shared" si="6"/>
        <v>38962.981615</v>
      </c>
      <c r="G45" s="493">
        <f t="shared" si="8"/>
        <v>20.8854685637721</v>
      </c>
      <c r="H45" s="496">
        <f>H46+H51+H84</f>
        <v>183550.43</v>
      </c>
      <c r="I45" s="314">
        <f t="shared" si="7"/>
        <v>-41968.01</v>
      </c>
      <c r="J45" s="493">
        <f t="shared" si="9"/>
        <v>-18.6095691332381</v>
      </c>
      <c r="K45" s="320"/>
      <c r="L45" s="287"/>
      <c r="M45" s="287"/>
      <c r="N45" s="287"/>
      <c r="O45" s="287"/>
      <c r="P45" s="287"/>
      <c r="Q45" s="287"/>
      <c r="R45" s="287"/>
      <c r="S45" s="287"/>
      <c r="T45" s="287"/>
      <c r="U45" s="287"/>
    </row>
    <row r="46" s="278" customFormat="1" ht="20" customHeight="1" spans="1:21">
      <c r="A46" s="324" t="s">
        <v>80</v>
      </c>
      <c r="B46" s="496">
        <f>B47+B48+B49+B50</f>
        <v>10056</v>
      </c>
      <c r="C46" s="496">
        <f>SUM(C47:C50)</f>
        <v>10056</v>
      </c>
      <c r="D46" s="496">
        <f>SUM(D47:D50)</f>
        <v>10056</v>
      </c>
      <c r="E46" s="493">
        <f t="shared" si="5"/>
        <v>100</v>
      </c>
      <c r="F46" s="314">
        <f t="shared" si="6"/>
        <v>0</v>
      </c>
      <c r="G46" s="493">
        <f t="shared" si="8"/>
        <v>0</v>
      </c>
      <c r="H46" s="496">
        <f>SUM(H47:H50)</f>
        <v>10056</v>
      </c>
      <c r="I46" s="314">
        <f t="shared" si="7"/>
        <v>0</v>
      </c>
      <c r="J46" s="493">
        <f t="shared" si="9"/>
        <v>0</v>
      </c>
      <c r="K46" s="320"/>
      <c r="L46" s="287"/>
      <c r="M46" s="287"/>
      <c r="N46" s="287"/>
      <c r="O46" s="287"/>
      <c r="P46" s="287"/>
      <c r="Q46" s="287"/>
      <c r="R46" s="287"/>
      <c r="S46" s="287"/>
      <c r="T46" s="287"/>
      <c r="U46" s="287"/>
    </row>
    <row r="47" ht="20" customHeight="1" spans="1:21">
      <c r="A47" s="497" t="s">
        <v>81</v>
      </c>
      <c r="B47" s="328">
        <v>942</v>
      </c>
      <c r="C47" s="328">
        <v>942</v>
      </c>
      <c r="D47" s="328">
        <v>942</v>
      </c>
      <c r="E47" s="493">
        <f t="shared" si="5"/>
        <v>100</v>
      </c>
      <c r="F47" s="314">
        <f t="shared" si="6"/>
        <v>0</v>
      </c>
      <c r="G47" s="493">
        <f t="shared" si="8"/>
        <v>0</v>
      </c>
      <c r="H47" s="327">
        <v>942</v>
      </c>
      <c r="I47" s="314">
        <f t="shared" si="7"/>
        <v>0</v>
      </c>
      <c r="J47" s="493">
        <f t="shared" si="9"/>
        <v>0</v>
      </c>
      <c r="K47" s="320"/>
      <c r="L47" s="287"/>
      <c r="M47" s="287"/>
      <c r="N47" s="287"/>
      <c r="O47" s="287"/>
      <c r="P47" s="287"/>
      <c r="Q47" s="287"/>
      <c r="R47" s="287"/>
      <c r="S47" s="287"/>
      <c r="T47" s="287"/>
      <c r="U47" s="287"/>
    </row>
    <row r="48" ht="20" customHeight="1" spans="1:21">
      <c r="A48" s="313" t="s">
        <v>82</v>
      </c>
      <c r="B48" s="328">
        <v>778</v>
      </c>
      <c r="C48" s="314">
        <v>778</v>
      </c>
      <c r="D48" s="328">
        <v>778</v>
      </c>
      <c r="E48" s="493">
        <f t="shared" si="5"/>
        <v>100</v>
      </c>
      <c r="F48" s="314">
        <f t="shared" si="6"/>
        <v>0</v>
      </c>
      <c r="G48" s="493">
        <f t="shared" si="8"/>
        <v>0</v>
      </c>
      <c r="H48" s="307">
        <v>778</v>
      </c>
      <c r="I48" s="314">
        <f t="shared" si="7"/>
        <v>0</v>
      </c>
      <c r="J48" s="493">
        <f t="shared" si="9"/>
        <v>0</v>
      </c>
      <c r="K48" s="320"/>
      <c r="L48" s="287"/>
      <c r="M48" s="287"/>
      <c r="N48" s="287"/>
      <c r="O48" s="287"/>
      <c r="P48" s="287"/>
      <c r="Q48" s="287"/>
      <c r="R48" s="287"/>
      <c r="S48" s="287"/>
      <c r="T48" s="287"/>
      <c r="U48" s="287"/>
    </row>
    <row r="49" ht="20" customHeight="1" spans="1:21">
      <c r="A49" s="313" t="s">
        <v>83</v>
      </c>
      <c r="B49" s="314">
        <v>5895</v>
      </c>
      <c r="C49" s="314">
        <v>5895</v>
      </c>
      <c r="D49" s="314">
        <v>5895</v>
      </c>
      <c r="E49" s="493">
        <f t="shared" si="5"/>
        <v>100</v>
      </c>
      <c r="F49" s="314">
        <f t="shared" si="6"/>
        <v>0</v>
      </c>
      <c r="G49" s="493">
        <f t="shared" si="8"/>
        <v>0</v>
      </c>
      <c r="H49" s="307">
        <v>5895</v>
      </c>
      <c r="I49" s="314">
        <f t="shared" si="7"/>
        <v>0</v>
      </c>
      <c r="J49" s="493">
        <f t="shared" si="9"/>
        <v>0</v>
      </c>
      <c r="K49" s="320"/>
      <c r="L49" s="287"/>
      <c r="M49" s="287"/>
      <c r="N49" s="287"/>
      <c r="O49" s="287"/>
      <c r="P49" s="287"/>
      <c r="Q49" s="287"/>
      <c r="R49" s="287"/>
      <c r="S49" s="287"/>
      <c r="T49" s="287"/>
      <c r="U49" s="287"/>
    </row>
    <row r="50" ht="20" customHeight="1" spans="1:21">
      <c r="A50" s="313" t="s">
        <v>84</v>
      </c>
      <c r="B50" s="314">
        <v>2441</v>
      </c>
      <c r="C50" s="314">
        <v>2441</v>
      </c>
      <c r="D50" s="314">
        <v>2441</v>
      </c>
      <c r="E50" s="493">
        <f t="shared" si="5"/>
        <v>100</v>
      </c>
      <c r="F50" s="314">
        <f t="shared" si="6"/>
        <v>0</v>
      </c>
      <c r="G50" s="493">
        <f t="shared" si="8"/>
        <v>0</v>
      </c>
      <c r="H50" s="307">
        <v>2441</v>
      </c>
      <c r="I50" s="314">
        <f t="shared" si="7"/>
        <v>0</v>
      </c>
      <c r="J50" s="493">
        <f t="shared" si="9"/>
        <v>0</v>
      </c>
      <c r="K50" s="320"/>
      <c r="L50" s="287"/>
      <c r="M50" s="287"/>
      <c r="N50" s="287"/>
      <c r="O50" s="287"/>
      <c r="P50" s="287"/>
      <c r="Q50" s="287"/>
      <c r="R50" s="287"/>
      <c r="S50" s="287"/>
      <c r="T50" s="287"/>
      <c r="U50" s="287"/>
    </row>
    <row r="51" s="278" customFormat="1" ht="20" customHeight="1" spans="1:21">
      <c r="A51" s="329" t="s">
        <v>85</v>
      </c>
      <c r="B51" s="496">
        <f>SUM(B52:B83)</f>
        <v>159560.30029</v>
      </c>
      <c r="C51" s="496">
        <f>SUM(C52:C83)</f>
        <v>134236.194</v>
      </c>
      <c r="D51" s="496">
        <f>SUM(D52:D83)</f>
        <v>186182.44</v>
      </c>
      <c r="E51" s="493">
        <f t="shared" si="5"/>
        <v>138.697645137346</v>
      </c>
      <c r="F51" s="314">
        <f t="shared" si="6"/>
        <v>26622.13971</v>
      </c>
      <c r="G51" s="493">
        <f t="shared" si="8"/>
        <v>16.6846888991901</v>
      </c>
      <c r="H51" s="496">
        <f>SUM(H52:H83)</f>
        <v>167527</v>
      </c>
      <c r="I51" s="314">
        <f t="shared" si="7"/>
        <v>-18655.44</v>
      </c>
      <c r="J51" s="493">
        <f t="shared" si="9"/>
        <v>-10.0199782535883</v>
      </c>
      <c r="K51" s="330"/>
      <c r="L51" s="287"/>
      <c r="M51" s="287"/>
      <c r="N51" s="287"/>
      <c r="O51" s="287"/>
      <c r="P51" s="287"/>
      <c r="Q51" s="287"/>
      <c r="R51" s="287"/>
      <c r="S51" s="287"/>
      <c r="T51" s="287"/>
      <c r="U51" s="287"/>
    </row>
    <row r="52" ht="20" customHeight="1" spans="1:21">
      <c r="A52" s="497" t="s">
        <v>86</v>
      </c>
      <c r="B52" s="328">
        <v>1094.44</v>
      </c>
      <c r="C52" s="314">
        <v>1094</v>
      </c>
      <c r="D52" s="328">
        <v>1094.44</v>
      </c>
      <c r="E52" s="493">
        <f t="shared" si="5"/>
        <v>100.040219378428</v>
      </c>
      <c r="F52" s="314">
        <f t="shared" si="6"/>
        <v>0</v>
      </c>
      <c r="G52" s="493">
        <f t="shared" si="8"/>
        <v>0</v>
      </c>
      <c r="H52" s="307">
        <v>1094</v>
      </c>
      <c r="I52" s="314">
        <f t="shared" si="7"/>
        <v>-0.440000000000055</v>
      </c>
      <c r="J52" s="493">
        <f t="shared" si="9"/>
        <v>-0.0402032089470464</v>
      </c>
      <c r="K52" s="330"/>
      <c r="L52" s="287"/>
      <c r="M52" s="287"/>
      <c r="N52" s="287"/>
      <c r="O52" s="287"/>
      <c r="P52" s="287"/>
      <c r="Q52" s="287"/>
      <c r="R52" s="287"/>
      <c r="S52" s="287"/>
      <c r="T52" s="287"/>
      <c r="U52" s="287"/>
    </row>
    <row r="53" ht="20" customHeight="1" spans="1:21">
      <c r="A53" s="497" t="s">
        <v>87</v>
      </c>
      <c r="B53" s="328">
        <v>29058</v>
      </c>
      <c r="C53" s="314">
        <v>29058</v>
      </c>
      <c r="D53" s="328">
        <v>39402</v>
      </c>
      <c r="E53" s="493">
        <f t="shared" si="5"/>
        <v>135.597769977287</v>
      </c>
      <c r="F53" s="314">
        <f t="shared" si="6"/>
        <v>10344</v>
      </c>
      <c r="G53" s="493">
        <f t="shared" si="8"/>
        <v>35.5977699772868</v>
      </c>
      <c r="H53" s="307">
        <v>39402</v>
      </c>
      <c r="I53" s="314">
        <f t="shared" si="7"/>
        <v>0</v>
      </c>
      <c r="J53" s="493">
        <f t="shared" si="9"/>
        <v>0</v>
      </c>
      <c r="K53" s="330"/>
      <c r="L53" s="287"/>
      <c r="M53" s="287"/>
      <c r="N53" s="287"/>
      <c r="O53" s="287"/>
      <c r="P53" s="287"/>
      <c r="Q53" s="287"/>
      <c r="R53" s="287"/>
      <c r="S53" s="287"/>
      <c r="T53" s="287"/>
      <c r="U53" s="287"/>
    </row>
    <row r="54" ht="20" customHeight="1" spans="1:21">
      <c r="A54" s="497" t="s">
        <v>88</v>
      </c>
      <c r="B54" s="332">
        <v>13256</v>
      </c>
      <c r="C54" s="314">
        <v>13256</v>
      </c>
      <c r="D54" s="332">
        <v>20054</v>
      </c>
      <c r="E54" s="493">
        <f t="shared" si="5"/>
        <v>151.282438141219</v>
      </c>
      <c r="F54" s="314">
        <f t="shared" si="6"/>
        <v>6798</v>
      </c>
      <c r="G54" s="493">
        <f t="shared" si="8"/>
        <v>51.2824381412191</v>
      </c>
      <c r="H54" s="307">
        <v>20054</v>
      </c>
      <c r="I54" s="314">
        <f t="shared" si="7"/>
        <v>0</v>
      </c>
      <c r="J54" s="493">
        <f t="shared" si="9"/>
        <v>0</v>
      </c>
      <c r="K54" s="330"/>
      <c r="L54" s="287"/>
      <c r="M54" s="287"/>
      <c r="N54" s="287"/>
      <c r="O54" s="287"/>
      <c r="P54" s="287"/>
      <c r="Q54" s="287"/>
      <c r="R54" s="287"/>
      <c r="S54" s="287"/>
      <c r="T54" s="287"/>
      <c r="U54" s="287"/>
    </row>
    <row r="55" ht="20" customHeight="1" spans="1:21">
      <c r="A55" s="497" t="s">
        <v>89</v>
      </c>
      <c r="B55" s="328">
        <v>11886.222705</v>
      </c>
      <c r="C55" s="314">
        <f>10299+363.55</f>
        <v>10662.55</v>
      </c>
      <c r="D55" s="328">
        <v>10391</v>
      </c>
      <c r="E55" s="493">
        <f t="shared" si="5"/>
        <v>97.453235858214</v>
      </c>
      <c r="F55" s="314">
        <f t="shared" si="6"/>
        <v>-1495.222705</v>
      </c>
      <c r="G55" s="493">
        <f t="shared" si="8"/>
        <v>-12.5794606252079</v>
      </c>
      <c r="H55" s="307">
        <v>10391</v>
      </c>
      <c r="I55" s="314">
        <f t="shared" si="7"/>
        <v>0</v>
      </c>
      <c r="J55" s="493">
        <f t="shared" si="9"/>
        <v>0</v>
      </c>
      <c r="K55" s="330"/>
      <c r="L55" s="287"/>
      <c r="M55" s="287"/>
      <c r="N55" s="287"/>
      <c r="O55" s="287"/>
      <c r="P55" s="287"/>
      <c r="Q55" s="287"/>
      <c r="R55" s="287"/>
      <c r="S55" s="287"/>
      <c r="T55" s="287"/>
      <c r="U55" s="287"/>
    </row>
    <row r="56" ht="20" customHeight="1" spans="1:21">
      <c r="A56" s="497" t="s">
        <v>90</v>
      </c>
      <c r="B56" s="498"/>
      <c r="C56" s="314"/>
      <c r="D56" s="498"/>
      <c r="E56" s="493"/>
      <c r="F56" s="314">
        <f t="shared" si="6"/>
        <v>0</v>
      </c>
      <c r="G56" s="493"/>
      <c r="H56" s="307"/>
      <c r="I56" s="314">
        <f t="shared" si="7"/>
        <v>0</v>
      </c>
      <c r="J56" s="493"/>
      <c r="K56" s="330"/>
      <c r="L56" s="287"/>
      <c r="M56" s="287"/>
      <c r="N56" s="287"/>
      <c r="O56" s="287"/>
      <c r="P56" s="287"/>
      <c r="Q56" s="287"/>
      <c r="R56" s="287"/>
      <c r="S56" s="287"/>
      <c r="T56" s="287"/>
      <c r="U56" s="287"/>
    </row>
    <row r="57" ht="20" customHeight="1" spans="1:21">
      <c r="A57" s="497" t="s">
        <v>91</v>
      </c>
      <c r="B57" s="314"/>
      <c r="C57" s="314"/>
      <c r="D57" s="314"/>
      <c r="E57" s="493"/>
      <c r="F57" s="314">
        <f t="shared" si="6"/>
        <v>0</v>
      </c>
      <c r="G57" s="493"/>
      <c r="H57" s="307"/>
      <c r="I57" s="314">
        <f t="shared" si="7"/>
        <v>0</v>
      </c>
      <c r="J57" s="493"/>
      <c r="K57" s="330"/>
      <c r="L57" s="287"/>
      <c r="M57" s="287"/>
      <c r="N57" s="287"/>
      <c r="O57" s="287"/>
      <c r="P57" s="287"/>
      <c r="Q57" s="287"/>
      <c r="R57" s="287"/>
      <c r="S57" s="287"/>
      <c r="T57" s="287"/>
      <c r="U57" s="287"/>
    </row>
    <row r="58" ht="20" customHeight="1" spans="1:21">
      <c r="A58" s="497" t="s">
        <v>92</v>
      </c>
      <c r="B58" s="314">
        <v>724</v>
      </c>
      <c r="C58" s="314">
        <v>724</v>
      </c>
      <c r="D58" s="314">
        <v>499</v>
      </c>
      <c r="E58" s="493">
        <f t="shared" si="5"/>
        <v>68.9226519337017</v>
      </c>
      <c r="F58" s="314">
        <f t="shared" si="6"/>
        <v>-225</v>
      </c>
      <c r="G58" s="493">
        <f t="shared" si="8"/>
        <v>-31.0773480662983</v>
      </c>
      <c r="H58" s="307">
        <v>449</v>
      </c>
      <c r="I58" s="314">
        <f t="shared" si="7"/>
        <v>-50</v>
      </c>
      <c r="J58" s="493">
        <f t="shared" si="9"/>
        <v>-10.0200400801603</v>
      </c>
      <c r="K58" s="330"/>
      <c r="L58" s="287"/>
      <c r="M58" s="287"/>
      <c r="N58" s="287"/>
      <c r="O58" s="287"/>
      <c r="P58" s="287"/>
      <c r="Q58" s="287"/>
      <c r="R58" s="287"/>
      <c r="S58" s="287"/>
      <c r="T58" s="287"/>
      <c r="U58" s="287"/>
    </row>
    <row r="59" ht="20" customHeight="1" spans="1:21">
      <c r="A59" s="497" t="s">
        <v>93</v>
      </c>
      <c r="B59" s="314">
        <v>180</v>
      </c>
      <c r="C59" s="314">
        <v>186</v>
      </c>
      <c r="D59" s="314">
        <v>200</v>
      </c>
      <c r="E59" s="493">
        <f t="shared" si="5"/>
        <v>107.52688172043</v>
      </c>
      <c r="F59" s="314">
        <f t="shared" si="6"/>
        <v>20</v>
      </c>
      <c r="G59" s="493">
        <f t="shared" si="8"/>
        <v>11.1111111111111</v>
      </c>
      <c r="H59" s="307">
        <v>197</v>
      </c>
      <c r="I59" s="314">
        <f t="shared" si="7"/>
        <v>-3</v>
      </c>
      <c r="J59" s="493">
        <f t="shared" si="9"/>
        <v>-1.5</v>
      </c>
      <c r="K59" s="330"/>
      <c r="L59" s="287"/>
      <c r="M59" s="287"/>
      <c r="N59" s="287"/>
      <c r="O59" s="287"/>
      <c r="P59" s="287"/>
      <c r="Q59" s="287"/>
      <c r="R59" s="287"/>
      <c r="S59" s="287"/>
      <c r="T59" s="287"/>
      <c r="U59" s="287"/>
    </row>
    <row r="60" ht="20" customHeight="1" spans="1:21">
      <c r="A60" s="497" t="s">
        <v>94</v>
      </c>
      <c r="B60" s="334">
        <v>21759.58378</v>
      </c>
      <c r="C60" s="314">
        <v>21091.03</v>
      </c>
      <c r="D60" s="334">
        <v>21091</v>
      </c>
      <c r="E60" s="493">
        <f t="shared" si="5"/>
        <v>99.9998577594361</v>
      </c>
      <c r="F60" s="314">
        <f t="shared" si="6"/>
        <v>-668.583780000001</v>
      </c>
      <c r="G60" s="493">
        <f t="shared" si="8"/>
        <v>-3.072594525519</v>
      </c>
      <c r="H60" s="307">
        <v>21091</v>
      </c>
      <c r="I60" s="314">
        <f t="shared" si="7"/>
        <v>0</v>
      </c>
      <c r="J60" s="493">
        <f t="shared" si="9"/>
        <v>0</v>
      </c>
      <c r="K60" s="330"/>
      <c r="L60" s="287"/>
      <c r="M60" s="287"/>
      <c r="N60" s="287"/>
      <c r="O60" s="287"/>
      <c r="P60" s="287"/>
      <c r="Q60" s="287"/>
      <c r="R60" s="287"/>
      <c r="S60" s="287"/>
      <c r="T60" s="287"/>
      <c r="U60" s="287"/>
    </row>
    <row r="61" ht="20" customHeight="1" spans="1:21">
      <c r="A61" s="499" t="s">
        <v>95</v>
      </c>
      <c r="B61" s="314">
        <v>851</v>
      </c>
      <c r="C61" s="314">
        <v>851</v>
      </c>
      <c r="D61" s="314">
        <v>824</v>
      </c>
      <c r="E61" s="493">
        <f t="shared" si="5"/>
        <v>96.8272620446534</v>
      </c>
      <c r="F61" s="314">
        <f t="shared" si="6"/>
        <v>-27</v>
      </c>
      <c r="G61" s="493">
        <f t="shared" si="8"/>
        <v>-3.17273795534665</v>
      </c>
      <c r="H61" s="307">
        <v>787</v>
      </c>
      <c r="I61" s="314">
        <f t="shared" si="7"/>
        <v>-37</v>
      </c>
      <c r="J61" s="493">
        <f t="shared" si="9"/>
        <v>-4.49029126213592</v>
      </c>
      <c r="K61" s="330"/>
      <c r="L61" s="287"/>
      <c r="M61" s="287"/>
      <c r="N61" s="287"/>
      <c r="O61" s="287"/>
      <c r="P61" s="287"/>
      <c r="Q61" s="287"/>
      <c r="R61" s="287"/>
      <c r="S61" s="287"/>
      <c r="T61" s="287"/>
      <c r="U61" s="287"/>
    </row>
    <row r="62" ht="20" customHeight="1" spans="1:21">
      <c r="A62" s="499" t="s">
        <v>96</v>
      </c>
      <c r="B62" s="314">
        <v>3095</v>
      </c>
      <c r="C62" s="314">
        <v>3095</v>
      </c>
      <c r="D62" s="314">
        <v>3606</v>
      </c>
      <c r="E62" s="493">
        <f t="shared" si="5"/>
        <v>116.510500807754</v>
      </c>
      <c r="F62" s="314">
        <f t="shared" si="6"/>
        <v>511</v>
      </c>
      <c r="G62" s="493">
        <f t="shared" si="8"/>
        <v>16.5105008077544</v>
      </c>
      <c r="H62" s="307">
        <v>3095</v>
      </c>
      <c r="I62" s="314">
        <f t="shared" si="7"/>
        <v>-511</v>
      </c>
      <c r="J62" s="493">
        <f t="shared" si="9"/>
        <v>-14.1708264004437</v>
      </c>
      <c r="K62" s="330"/>
      <c r="L62" s="287"/>
      <c r="M62" s="287"/>
      <c r="N62" s="287"/>
      <c r="O62" s="287"/>
      <c r="P62" s="287"/>
      <c r="Q62" s="287"/>
      <c r="R62" s="287"/>
      <c r="S62" s="287"/>
      <c r="T62" s="287"/>
      <c r="U62" s="287"/>
    </row>
    <row r="63" ht="20" customHeight="1" spans="1:21">
      <c r="A63" s="499" t="s">
        <v>97</v>
      </c>
      <c r="B63" s="314">
        <v>14235</v>
      </c>
      <c r="C63" s="314">
        <v>7974</v>
      </c>
      <c r="D63" s="314"/>
      <c r="E63" s="493">
        <f t="shared" si="5"/>
        <v>0</v>
      </c>
      <c r="F63" s="314">
        <f t="shared" si="6"/>
        <v>-14235</v>
      </c>
      <c r="G63" s="493">
        <f t="shared" si="8"/>
        <v>-100</v>
      </c>
      <c r="H63" s="307"/>
      <c r="I63" s="314">
        <f t="shared" si="7"/>
        <v>0</v>
      </c>
      <c r="J63" s="493"/>
      <c r="K63" s="330"/>
      <c r="L63" s="287"/>
      <c r="M63" s="287"/>
      <c r="N63" s="287"/>
      <c r="O63" s="287"/>
      <c r="P63" s="287"/>
      <c r="Q63" s="287"/>
      <c r="R63" s="287"/>
      <c r="S63" s="287"/>
      <c r="T63" s="287"/>
      <c r="U63" s="287"/>
    </row>
    <row r="64" ht="20" customHeight="1" spans="1:21">
      <c r="A64" s="336" t="s">
        <v>98</v>
      </c>
      <c r="B64" s="314">
        <v>6.5</v>
      </c>
      <c r="C64" s="314"/>
      <c r="D64" s="314">
        <v>812</v>
      </c>
      <c r="E64" s="493"/>
      <c r="F64" s="314">
        <f t="shared" si="6"/>
        <v>805.5</v>
      </c>
      <c r="G64" s="493">
        <f t="shared" si="8"/>
        <v>12392.3076923077</v>
      </c>
      <c r="H64" s="307">
        <v>54</v>
      </c>
      <c r="I64" s="314">
        <f t="shared" si="7"/>
        <v>-758</v>
      </c>
      <c r="J64" s="493">
        <f t="shared" si="9"/>
        <v>-93.3497536945813</v>
      </c>
      <c r="K64" s="330"/>
      <c r="L64" s="287"/>
      <c r="M64" s="287"/>
      <c r="N64" s="287"/>
      <c r="O64" s="287"/>
      <c r="P64" s="287"/>
      <c r="Q64" s="287"/>
      <c r="R64" s="287"/>
      <c r="S64" s="287"/>
      <c r="T64" s="287"/>
      <c r="U64" s="287"/>
    </row>
    <row r="65" ht="20" customHeight="1" spans="1:21">
      <c r="A65" s="337" t="s">
        <v>99</v>
      </c>
      <c r="B65" s="314"/>
      <c r="C65" s="314"/>
      <c r="D65" s="314">
        <v>124</v>
      </c>
      <c r="E65" s="493"/>
      <c r="F65" s="314">
        <f t="shared" si="6"/>
        <v>124</v>
      </c>
      <c r="G65" s="493"/>
      <c r="H65" s="307">
        <v>73</v>
      </c>
      <c r="I65" s="314">
        <f t="shared" si="7"/>
        <v>-51</v>
      </c>
      <c r="J65" s="493">
        <f t="shared" si="9"/>
        <v>-41.1290322580645</v>
      </c>
      <c r="K65" s="330"/>
      <c r="L65" s="287"/>
      <c r="M65" s="287"/>
      <c r="N65" s="287"/>
      <c r="O65" s="287"/>
      <c r="P65" s="287"/>
      <c r="Q65" s="287"/>
      <c r="R65" s="287"/>
      <c r="S65" s="287"/>
      <c r="T65" s="287"/>
      <c r="U65" s="287"/>
    </row>
    <row r="66" ht="20" customHeight="1" spans="1:21">
      <c r="A66" s="499" t="s">
        <v>100</v>
      </c>
      <c r="B66" s="314">
        <v>1724.11</v>
      </c>
      <c r="C66" s="314">
        <v>56.11</v>
      </c>
      <c r="D66" s="314">
        <v>1162</v>
      </c>
      <c r="E66" s="493">
        <f t="shared" si="5"/>
        <v>2070.9320976653</v>
      </c>
      <c r="F66" s="314">
        <f t="shared" si="6"/>
        <v>-562.11</v>
      </c>
      <c r="G66" s="493">
        <f t="shared" si="8"/>
        <v>-32.6029081671123</v>
      </c>
      <c r="H66" s="307">
        <v>1104</v>
      </c>
      <c r="I66" s="314">
        <f t="shared" si="7"/>
        <v>-58</v>
      </c>
      <c r="J66" s="493">
        <f t="shared" si="9"/>
        <v>-4.99139414802065</v>
      </c>
      <c r="K66" s="330"/>
      <c r="L66" s="287"/>
      <c r="M66" s="287"/>
      <c r="N66" s="287"/>
      <c r="O66" s="287"/>
      <c r="P66" s="287"/>
      <c r="Q66" s="287"/>
      <c r="R66" s="287"/>
      <c r="S66" s="287"/>
      <c r="T66" s="287"/>
      <c r="U66" s="287"/>
    </row>
    <row r="67" ht="20" customHeight="1" spans="1:21">
      <c r="A67" s="499" t="s">
        <v>101</v>
      </c>
      <c r="B67" s="314">
        <v>9883.060125</v>
      </c>
      <c r="C67" s="314">
        <v>9355.22</v>
      </c>
      <c r="D67" s="314">
        <v>14564</v>
      </c>
      <c r="E67" s="493">
        <f t="shared" si="5"/>
        <v>155.677792718931</v>
      </c>
      <c r="F67" s="314">
        <f t="shared" si="6"/>
        <v>4680.939875</v>
      </c>
      <c r="G67" s="493">
        <f t="shared" si="8"/>
        <v>47.3632641691533</v>
      </c>
      <c r="H67" s="307">
        <v>11255</v>
      </c>
      <c r="I67" s="314">
        <f t="shared" si="7"/>
        <v>-3309</v>
      </c>
      <c r="J67" s="493">
        <f t="shared" si="9"/>
        <v>-22.7204064817358</v>
      </c>
      <c r="K67" s="330"/>
      <c r="L67" s="287"/>
      <c r="M67" s="287"/>
      <c r="N67" s="287"/>
      <c r="O67" s="287"/>
      <c r="P67" s="287"/>
      <c r="Q67" s="287"/>
      <c r="R67" s="287"/>
      <c r="S67" s="287"/>
      <c r="T67" s="287"/>
      <c r="U67" s="287"/>
    </row>
    <row r="68" ht="20" customHeight="1" spans="1:21">
      <c r="A68" s="500" t="s">
        <v>102</v>
      </c>
      <c r="B68" s="314">
        <v>10</v>
      </c>
      <c r="C68" s="314"/>
      <c r="D68" s="314">
        <v>10</v>
      </c>
      <c r="E68" s="493"/>
      <c r="F68" s="314">
        <f t="shared" si="6"/>
        <v>0</v>
      </c>
      <c r="G68" s="493">
        <f t="shared" si="8"/>
        <v>0</v>
      </c>
      <c r="H68" s="307"/>
      <c r="I68" s="314">
        <f t="shared" si="7"/>
        <v>-10</v>
      </c>
      <c r="J68" s="493">
        <f t="shared" si="9"/>
        <v>-100</v>
      </c>
      <c r="K68" s="330"/>
      <c r="L68" s="287"/>
      <c r="M68" s="287"/>
      <c r="N68" s="287"/>
      <c r="O68" s="287"/>
      <c r="P68" s="287"/>
      <c r="Q68" s="287"/>
      <c r="R68" s="287"/>
      <c r="S68" s="287"/>
      <c r="T68" s="287"/>
      <c r="U68" s="287"/>
    </row>
    <row r="69" ht="20" customHeight="1" spans="1:21">
      <c r="A69" s="500" t="s">
        <v>103</v>
      </c>
      <c r="B69" s="314">
        <v>476.19</v>
      </c>
      <c r="C69" s="314">
        <v>414.19</v>
      </c>
      <c r="D69" s="314">
        <v>496</v>
      </c>
      <c r="E69" s="493">
        <f t="shared" si="5"/>
        <v>119.751804727299</v>
      </c>
      <c r="F69" s="314">
        <f t="shared" si="6"/>
        <v>19.81</v>
      </c>
      <c r="G69" s="493">
        <f t="shared" si="8"/>
        <v>4.16010416010416</v>
      </c>
      <c r="H69" s="307">
        <v>376</v>
      </c>
      <c r="I69" s="314">
        <f t="shared" si="7"/>
        <v>-120</v>
      </c>
      <c r="J69" s="493">
        <f t="shared" si="9"/>
        <v>-24.1935483870968</v>
      </c>
      <c r="K69" s="330"/>
      <c r="L69" s="287"/>
      <c r="M69" s="287"/>
      <c r="N69" s="287"/>
      <c r="O69" s="287"/>
      <c r="P69" s="287"/>
      <c r="Q69" s="287"/>
      <c r="R69" s="287"/>
      <c r="S69" s="287"/>
      <c r="T69" s="287"/>
      <c r="U69" s="287"/>
    </row>
    <row r="70" ht="20" customHeight="1" spans="1:21">
      <c r="A70" s="497" t="s">
        <v>104</v>
      </c>
      <c r="B70" s="314">
        <v>25019.354</v>
      </c>
      <c r="C70" s="314">
        <f>16+19824.934</f>
        <v>19840.934</v>
      </c>
      <c r="D70" s="314">
        <v>28042</v>
      </c>
      <c r="E70" s="493">
        <f t="shared" si="5"/>
        <v>141.334072277041</v>
      </c>
      <c r="F70" s="314">
        <f t="shared" si="6"/>
        <v>3022.646</v>
      </c>
      <c r="G70" s="493">
        <f t="shared" si="8"/>
        <v>12.0812311940588</v>
      </c>
      <c r="H70" s="307">
        <v>28070</v>
      </c>
      <c r="I70" s="314">
        <f t="shared" si="7"/>
        <v>28</v>
      </c>
      <c r="J70" s="493">
        <f t="shared" si="9"/>
        <v>0.0998502246630055</v>
      </c>
      <c r="K70" s="330"/>
      <c r="L70" s="287"/>
      <c r="M70" s="287"/>
      <c r="N70" s="287"/>
      <c r="O70" s="287"/>
      <c r="P70" s="287"/>
      <c r="Q70" s="287"/>
      <c r="R70" s="287"/>
      <c r="S70" s="287"/>
      <c r="T70" s="287"/>
      <c r="U70" s="287"/>
    </row>
    <row r="71" ht="20" customHeight="1" spans="1:21">
      <c r="A71" s="497" t="s">
        <v>105</v>
      </c>
      <c r="B71" s="314">
        <v>7674.3988</v>
      </c>
      <c r="C71" s="314">
        <v>5976.44</v>
      </c>
      <c r="D71" s="314">
        <v>11602</v>
      </c>
      <c r="E71" s="493">
        <f t="shared" si="5"/>
        <v>194.128946329253</v>
      </c>
      <c r="F71" s="314">
        <f t="shared" ref="F71:F113" si="10">D71-B71</f>
        <v>3927.6012</v>
      </c>
      <c r="G71" s="493">
        <f t="shared" si="8"/>
        <v>51.1779658883508</v>
      </c>
      <c r="H71" s="307">
        <v>10426</v>
      </c>
      <c r="I71" s="314">
        <f t="shared" ref="I71:I113" si="11">H71-D71</f>
        <v>-1176</v>
      </c>
      <c r="J71" s="493">
        <f t="shared" ref="J71:J102" si="12">I71/D71*100</f>
        <v>-10.1361834166523</v>
      </c>
      <c r="K71" s="330"/>
      <c r="L71" s="287"/>
      <c r="M71" s="287"/>
      <c r="N71" s="287"/>
      <c r="O71" s="287"/>
      <c r="P71" s="287"/>
      <c r="Q71" s="287"/>
      <c r="R71" s="287"/>
      <c r="S71" s="287"/>
      <c r="T71" s="287"/>
      <c r="U71" s="287"/>
    </row>
    <row r="72" ht="20" customHeight="1" spans="1:21">
      <c r="A72" s="497" t="s">
        <v>106</v>
      </c>
      <c r="B72" s="314">
        <v>190.83</v>
      </c>
      <c r="C72" s="314">
        <v>148.83</v>
      </c>
      <c r="D72" s="314">
        <v>959</v>
      </c>
      <c r="E72" s="493">
        <f t="shared" si="5"/>
        <v>644.359336155345</v>
      </c>
      <c r="F72" s="314">
        <f t="shared" si="10"/>
        <v>768.17</v>
      </c>
      <c r="G72" s="493">
        <f t="shared" ref="G72:G104" si="13">F72/B72*100</f>
        <v>402.541529109679</v>
      </c>
      <c r="H72" s="307">
        <v>951</v>
      </c>
      <c r="I72" s="314">
        <f t="shared" si="11"/>
        <v>-8</v>
      </c>
      <c r="J72" s="493">
        <f t="shared" si="12"/>
        <v>-0.834202294056309</v>
      </c>
      <c r="K72" s="330"/>
      <c r="L72" s="287"/>
      <c r="M72" s="287"/>
      <c r="N72" s="287"/>
      <c r="O72" s="287"/>
      <c r="P72" s="287"/>
      <c r="Q72" s="287"/>
      <c r="R72" s="287"/>
      <c r="S72" s="287"/>
      <c r="T72" s="287"/>
      <c r="U72" s="287"/>
    </row>
    <row r="73" ht="20" customHeight="1" spans="1:21">
      <c r="A73" s="497" t="s">
        <v>107</v>
      </c>
      <c r="B73" s="314">
        <v>12588.4018</v>
      </c>
      <c r="C73" s="314">
        <v>6638.87</v>
      </c>
      <c r="D73" s="314">
        <v>30194</v>
      </c>
      <c r="E73" s="493">
        <f t="shared" si="5"/>
        <v>454.806314930101</v>
      </c>
      <c r="F73" s="314">
        <f t="shared" si="10"/>
        <v>17605.5982</v>
      </c>
      <c r="G73" s="493">
        <f t="shared" si="13"/>
        <v>139.855705908593</v>
      </c>
      <c r="H73" s="307">
        <v>14212</v>
      </c>
      <c r="I73" s="314">
        <f t="shared" si="11"/>
        <v>-15982</v>
      </c>
      <c r="J73" s="493">
        <f t="shared" si="12"/>
        <v>-52.9310459031596</v>
      </c>
      <c r="K73" s="330"/>
      <c r="L73" s="287"/>
      <c r="M73" s="287"/>
      <c r="N73" s="287"/>
      <c r="O73" s="287"/>
      <c r="P73" s="287"/>
      <c r="Q73" s="287"/>
      <c r="R73" s="287"/>
      <c r="S73" s="287"/>
      <c r="T73" s="287"/>
      <c r="U73" s="287"/>
    </row>
    <row r="74" ht="20" customHeight="1" spans="1:21">
      <c r="A74" s="497" t="s">
        <v>108</v>
      </c>
      <c r="B74" s="314">
        <v>3778.77</v>
      </c>
      <c r="C74" s="314">
        <v>3223.72</v>
      </c>
      <c r="D74" s="314">
        <v>702</v>
      </c>
      <c r="E74" s="493">
        <f t="shared" si="5"/>
        <v>21.7760847716303</v>
      </c>
      <c r="F74" s="314">
        <f t="shared" si="10"/>
        <v>-3076.77</v>
      </c>
      <c r="G74" s="493">
        <f t="shared" si="13"/>
        <v>-81.4225263776308</v>
      </c>
      <c r="H74" s="307">
        <v>442</v>
      </c>
      <c r="I74" s="314">
        <f t="shared" si="11"/>
        <v>-260</v>
      </c>
      <c r="J74" s="493">
        <f t="shared" si="12"/>
        <v>-37.037037037037</v>
      </c>
      <c r="K74" s="330"/>
      <c r="L74" s="287"/>
      <c r="M74" s="287"/>
      <c r="N74" s="287"/>
      <c r="O74" s="287"/>
      <c r="P74" s="287"/>
      <c r="Q74" s="287"/>
      <c r="R74" s="287"/>
      <c r="S74" s="287"/>
      <c r="T74" s="287"/>
      <c r="U74" s="287"/>
    </row>
    <row r="75" ht="20" customHeight="1" spans="1:21">
      <c r="A75" s="497" t="s">
        <v>109</v>
      </c>
      <c r="B75" s="314"/>
      <c r="C75" s="314"/>
      <c r="D75" s="314">
        <v>-420</v>
      </c>
      <c r="E75" s="493"/>
      <c r="F75" s="314">
        <f t="shared" si="10"/>
        <v>-420</v>
      </c>
      <c r="G75" s="493"/>
      <c r="H75" s="307"/>
      <c r="I75" s="314">
        <f t="shared" si="11"/>
        <v>420</v>
      </c>
      <c r="J75" s="493">
        <f t="shared" si="12"/>
        <v>-100</v>
      </c>
      <c r="K75" s="330"/>
      <c r="L75" s="287"/>
      <c r="M75" s="287"/>
      <c r="N75" s="287"/>
      <c r="O75" s="287"/>
      <c r="P75" s="287"/>
      <c r="Q75" s="287"/>
      <c r="R75" s="287"/>
      <c r="S75" s="287"/>
      <c r="T75" s="287"/>
      <c r="U75" s="287"/>
    </row>
    <row r="76" ht="20" customHeight="1" spans="1:21">
      <c r="A76" s="497" t="s">
        <v>110</v>
      </c>
      <c r="B76" s="314">
        <v>1163.47</v>
      </c>
      <c r="C76" s="314">
        <v>124.51</v>
      </c>
      <c r="D76" s="314">
        <v>634</v>
      </c>
      <c r="E76" s="493">
        <f>D76/C76*100</f>
        <v>509.19604851016</v>
      </c>
      <c r="F76" s="314">
        <f t="shared" si="10"/>
        <v>-529.47</v>
      </c>
      <c r="G76" s="493">
        <f t="shared" si="13"/>
        <v>-45.5078343231884</v>
      </c>
      <c r="H76" s="307">
        <v>3908</v>
      </c>
      <c r="I76" s="314">
        <f t="shared" si="11"/>
        <v>3274</v>
      </c>
      <c r="J76" s="493">
        <f t="shared" si="12"/>
        <v>516.403785488959</v>
      </c>
      <c r="K76" s="330"/>
      <c r="L76" s="287"/>
      <c r="M76" s="287"/>
      <c r="N76" s="287"/>
      <c r="O76" s="287"/>
      <c r="P76" s="287"/>
      <c r="Q76" s="287"/>
      <c r="R76" s="287"/>
      <c r="S76" s="287"/>
      <c r="T76" s="287"/>
      <c r="U76" s="287"/>
    </row>
    <row r="77" ht="20" customHeight="1" spans="1:21">
      <c r="A77" s="497" t="s">
        <v>111</v>
      </c>
      <c r="B77" s="314">
        <v>22.06</v>
      </c>
      <c r="C77" s="314"/>
      <c r="D77" s="314">
        <v>21</v>
      </c>
      <c r="E77" s="493"/>
      <c r="F77" s="314">
        <f t="shared" si="10"/>
        <v>-1.06</v>
      </c>
      <c r="G77" s="493">
        <f t="shared" si="13"/>
        <v>-4.80507706255666</v>
      </c>
      <c r="H77" s="307"/>
      <c r="I77" s="314">
        <f t="shared" si="11"/>
        <v>-21</v>
      </c>
      <c r="J77" s="493">
        <f t="shared" si="12"/>
        <v>-100</v>
      </c>
      <c r="K77" s="330"/>
      <c r="L77" s="287"/>
      <c r="M77" s="287"/>
      <c r="N77" s="287"/>
      <c r="O77" s="287"/>
      <c r="P77" s="287"/>
      <c r="Q77" s="287"/>
      <c r="R77" s="287"/>
      <c r="S77" s="287"/>
      <c r="T77" s="287"/>
      <c r="U77" s="287"/>
    </row>
    <row r="78" ht="20" customHeight="1" spans="1:21">
      <c r="A78" s="497" t="s">
        <v>112</v>
      </c>
      <c r="B78" s="314">
        <v>49.2</v>
      </c>
      <c r="C78" s="314"/>
      <c r="D78" s="314">
        <v>23</v>
      </c>
      <c r="E78" s="493"/>
      <c r="F78" s="314">
        <f t="shared" si="10"/>
        <v>-26.2</v>
      </c>
      <c r="G78" s="493">
        <f t="shared" si="13"/>
        <v>-53.2520325203252</v>
      </c>
      <c r="H78" s="307"/>
      <c r="I78" s="314">
        <f t="shared" si="11"/>
        <v>-23</v>
      </c>
      <c r="J78" s="493">
        <f t="shared" si="12"/>
        <v>-100</v>
      </c>
      <c r="K78" s="330"/>
      <c r="L78" s="287"/>
      <c r="M78" s="287"/>
      <c r="N78" s="287"/>
      <c r="O78" s="287"/>
      <c r="P78" s="287"/>
      <c r="Q78" s="287"/>
      <c r="R78" s="287"/>
      <c r="S78" s="287"/>
      <c r="T78" s="287"/>
      <c r="U78" s="287"/>
    </row>
    <row r="79" ht="20" customHeight="1" spans="1:21">
      <c r="A79" s="497" t="s">
        <v>113</v>
      </c>
      <c r="B79" s="314"/>
      <c r="C79" s="314"/>
      <c r="D79" s="314"/>
      <c r="E79" s="493"/>
      <c r="F79" s="314">
        <f t="shared" si="10"/>
        <v>0</v>
      </c>
      <c r="G79" s="493"/>
      <c r="H79" s="307"/>
      <c r="I79" s="314">
        <f t="shared" si="11"/>
        <v>0</v>
      </c>
      <c r="J79" s="493"/>
      <c r="K79" s="330"/>
      <c r="L79" s="287"/>
      <c r="M79" s="287"/>
      <c r="N79" s="287"/>
      <c r="O79" s="287"/>
      <c r="P79" s="287"/>
      <c r="Q79" s="287"/>
      <c r="R79" s="287"/>
      <c r="S79" s="287"/>
      <c r="T79" s="287"/>
      <c r="U79" s="287"/>
    </row>
    <row r="80" ht="20" customHeight="1" spans="1:21">
      <c r="A80" s="497" t="s">
        <v>114</v>
      </c>
      <c r="B80" s="314"/>
      <c r="C80" s="314"/>
      <c r="D80" s="314"/>
      <c r="E80" s="493"/>
      <c r="F80" s="314">
        <f t="shared" si="10"/>
        <v>0</v>
      </c>
      <c r="G80" s="493"/>
      <c r="H80" s="307"/>
      <c r="I80" s="314">
        <f t="shared" si="11"/>
        <v>0</v>
      </c>
      <c r="J80" s="493"/>
      <c r="K80" s="330"/>
      <c r="L80" s="287"/>
      <c r="M80" s="287"/>
      <c r="N80" s="287"/>
      <c r="O80" s="287"/>
      <c r="P80" s="287"/>
      <c r="Q80" s="287"/>
      <c r="R80" s="287"/>
      <c r="S80" s="287"/>
      <c r="T80" s="287"/>
      <c r="U80" s="287"/>
    </row>
    <row r="81" ht="20" customHeight="1" spans="1:21">
      <c r="A81" s="497" t="s">
        <v>115</v>
      </c>
      <c r="B81" s="314"/>
      <c r="C81" s="314"/>
      <c r="D81" s="314"/>
      <c r="E81" s="493"/>
      <c r="F81" s="314">
        <f t="shared" si="10"/>
        <v>0</v>
      </c>
      <c r="G81" s="493"/>
      <c r="H81" s="307"/>
      <c r="I81" s="314">
        <f t="shared" si="11"/>
        <v>0</v>
      </c>
      <c r="J81" s="493"/>
      <c r="K81" s="330"/>
      <c r="L81" s="287"/>
      <c r="M81" s="287"/>
      <c r="N81" s="287"/>
      <c r="O81" s="287"/>
      <c r="P81" s="287"/>
      <c r="Q81" s="287"/>
      <c r="R81" s="287"/>
      <c r="S81" s="287"/>
      <c r="T81" s="287"/>
      <c r="U81" s="287"/>
    </row>
    <row r="82" ht="20" customHeight="1" spans="1:21">
      <c r="A82" s="497" t="s">
        <v>116</v>
      </c>
      <c r="B82" s="314"/>
      <c r="C82" s="314"/>
      <c r="D82" s="314"/>
      <c r="E82" s="493"/>
      <c r="F82" s="314">
        <f t="shared" si="10"/>
        <v>0</v>
      </c>
      <c r="G82" s="493"/>
      <c r="H82" s="307"/>
      <c r="I82" s="314">
        <f t="shared" si="11"/>
        <v>0</v>
      </c>
      <c r="J82" s="493"/>
      <c r="K82" s="330"/>
      <c r="L82" s="287"/>
      <c r="M82" s="287"/>
      <c r="N82" s="287"/>
      <c r="O82" s="287"/>
      <c r="P82" s="287"/>
      <c r="Q82" s="287"/>
      <c r="R82" s="287"/>
      <c r="S82" s="287"/>
      <c r="T82" s="287"/>
      <c r="U82" s="287"/>
    </row>
    <row r="83" ht="20" customHeight="1" spans="1:21">
      <c r="A83" s="497" t="s">
        <v>117</v>
      </c>
      <c r="B83" s="314">
        <v>834.70908</v>
      </c>
      <c r="C83" s="314">
        <f>96+369.79</f>
        <v>465.79</v>
      </c>
      <c r="D83" s="314">
        <v>96</v>
      </c>
      <c r="E83" s="493">
        <f>D83/C83*100</f>
        <v>20.6101462032246</v>
      </c>
      <c r="F83" s="314">
        <f t="shared" si="10"/>
        <v>-738.70908</v>
      </c>
      <c r="G83" s="493">
        <f t="shared" si="13"/>
        <v>-88.4989869763966</v>
      </c>
      <c r="H83" s="307">
        <v>96</v>
      </c>
      <c r="I83" s="314">
        <f t="shared" si="11"/>
        <v>0</v>
      </c>
      <c r="J83" s="493">
        <f t="shared" si="12"/>
        <v>0</v>
      </c>
      <c r="K83" s="330"/>
      <c r="L83" s="287"/>
      <c r="M83" s="287"/>
      <c r="N83" s="287"/>
      <c r="O83" s="287"/>
      <c r="P83" s="287"/>
      <c r="Q83" s="287"/>
      <c r="R83" s="287"/>
      <c r="S83" s="287"/>
      <c r="T83" s="287"/>
      <c r="U83" s="287"/>
    </row>
    <row r="84" s="278" customFormat="1" ht="20" customHeight="1" spans="1:21">
      <c r="A84" s="497" t="s">
        <v>118</v>
      </c>
      <c r="B84" s="496">
        <f>SUM(B85:B105)</f>
        <v>16939.158095</v>
      </c>
      <c r="C84" s="496">
        <f>SUM(C85:C105)</f>
        <v>7057.91</v>
      </c>
      <c r="D84" s="501">
        <f>SUM(D85:D105)</f>
        <v>29280</v>
      </c>
      <c r="E84" s="493">
        <f>D84/C84*100</f>
        <v>414.853688981582</v>
      </c>
      <c r="F84" s="314">
        <f t="shared" si="10"/>
        <v>12340.841905</v>
      </c>
      <c r="G84" s="493">
        <f t="shared" si="13"/>
        <v>72.8539271892308</v>
      </c>
      <c r="H84" s="496">
        <f>SUM(H85:H105)</f>
        <v>5967.43</v>
      </c>
      <c r="I84" s="314">
        <f t="shared" si="11"/>
        <v>-23312.57</v>
      </c>
      <c r="J84" s="493">
        <f t="shared" si="12"/>
        <v>-79.6194330601093</v>
      </c>
      <c r="K84" s="330"/>
      <c r="L84" s="287"/>
      <c r="M84" s="287"/>
      <c r="N84" s="287"/>
      <c r="O84" s="287"/>
      <c r="P84" s="287"/>
      <c r="Q84" s="287"/>
      <c r="R84" s="287"/>
      <c r="S84" s="287"/>
      <c r="T84" s="287"/>
      <c r="U84" s="287"/>
    </row>
    <row r="85" ht="20" customHeight="1" spans="1:21">
      <c r="A85" s="497" t="s">
        <v>119</v>
      </c>
      <c r="B85" s="340">
        <v>3423.8964</v>
      </c>
      <c r="C85" s="314">
        <v>62.33</v>
      </c>
      <c r="D85" s="340">
        <v>704</v>
      </c>
      <c r="E85" s="493">
        <f>D85/C85*100</f>
        <v>1129.47216428686</v>
      </c>
      <c r="F85" s="314">
        <f t="shared" si="10"/>
        <v>-2719.8964</v>
      </c>
      <c r="G85" s="493">
        <f t="shared" si="13"/>
        <v>-79.4386302108907</v>
      </c>
      <c r="H85" s="307">
        <v>150.86</v>
      </c>
      <c r="I85" s="314">
        <f t="shared" si="11"/>
        <v>-553.14</v>
      </c>
      <c r="J85" s="493">
        <f t="shared" si="12"/>
        <v>-78.5710227272727</v>
      </c>
      <c r="K85" s="330"/>
      <c r="L85" s="287"/>
      <c r="M85" s="287"/>
      <c r="N85" s="287"/>
      <c r="O85" s="287"/>
      <c r="P85" s="287"/>
      <c r="Q85" s="287"/>
      <c r="R85" s="287"/>
      <c r="S85" s="287"/>
      <c r="T85" s="287"/>
      <c r="U85" s="287"/>
    </row>
    <row r="86" ht="20" customHeight="1" spans="1:21">
      <c r="A86" s="497" t="s">
        <v>120</v>
      </c>
      <c r="B86" s="340"/>
      <c r="C86" s="314"/>
      <c r="D86" s="340"/>
      <c r="E86" s="493"/>
      <c r="F86" s="314">
        <f t="shared" si="10"/>
        <v>0</v>
      </c>
      <c r="G86" s="493"/>
      <c r="H86" s="307"/>
      <c r="I86" s="314">
        <f t="shared" si="11"/>
        <v>0</v>
      </c>
      <c r="J86" s="493"/>
      <c r="K86" s="330"/>
      <c r="L86" s="287"/>
      <c r="M86" s="287"/>
      <c r="N86" s="287"/>
      <c r="O86" s="287"/>
      <c r="P86" s="287"/>
      <c r="Q86" s="287"/>
      <c r="R86" s="287"/>
      <c r="S86" s="287"/>
      <c r="T86" s="287"/>
      <c r="U86" s="287"/>
    </row>
    <row r="87" ht="20" customHeight="1" spans="1:21">
      <c r="A87" s="497" t="s">
        <v>121</v>
      </c>
      <c r="B87" s="340"/>
      <c r="C87" s="314"/>
      <c r="D87" s="340"/>
      <c r="E87" s="493"/>
      <c r="F87" s="314">
        <f t="shared" si="10"/>
        <v>0</v>
      </c>
      <c r="G87" s="493"/>
      <c r="H87" s="307"/>
      <c r="I87" s="314">
        <f t="shared" si="11"/>
        <v>0</v>
      </c>
      <c r="J87" s="493"/>
      <c r="K87" s="330"/>
      <c r="L87" s="287"/>
      <c r="M87" s="287"/>
      <c r="N87" s="287"/>
      <c r="O87" s="287"/>
      <c r="P87" s="287"/>
      <c r="Q87" s="287"/>
      <c r="R87" s="287"/>
      <c r="S87" s="287"/>
      <c r="T87" s="287"/>
      <c r="U87" s="287"/>
    </row>
    <row r="88" ht="20" customHeight="1" spans="1:21">
      <c r="A88" s="497" t="s">
        <v>122</v>
      </c>
      <c r="B88" s="340"/>
      <c r="C88" s="314"/>
      <c r="D88" s="340"/>
      <c r="E88" s="493"/>
      <c r="F88" s="314">
        <f t="shared" si="10"/>
        <v>0</v>
      </c>
      <c r="G88" s="493"/>
      <c r="H88" s="307"/>
      <c r="I88" s="314">
        <f t="shared" si="11"/>
        <v>0</v>
      </c>
      <c r="J88" s="493"/>
      <c r="K88" s="330"/>
      <c r="L88" s="287"/>
      <c r="M88" s="287"/>
      <c r="N88" s="287"/>
      <c r="O88" s="287"/>
      <c r="P88" s="287"/>
      <c r="Q88" s="287"/>
      <c r="R88" s="287"/>
      <c r="S88" s="287"/>
      <c r="T88" s="287"/>
      <c r="U88" s="287"/>
    </row>
    <row r="89" ht="20" customHeight="1" spans="1:21">
      <c r="A89" s="497" t="s">
        <v>123</v>
      </c>
      <c r="B89" s="340"/>
      <c r="C89" s="314"/>
      <c r="D89" s="340"/>
      <c r="E89" s="493"/>
      <c r="F89" s="314">
        <f t="shared" si="10"/>
        <v>0</v>
      </c>
      <c r="G89" s="493"/>
      <c r="H89" s="307"/>
      <c r="I89" s="314">
        <f t="shared" si="11"/>
        <v>0</v>
      </c>
      <c r="J89" s="493"/>
      <c r="K89" s="330"/>
      <c r="L89" s="287"/>
      <c r="M89" s="287"/>
      <c r="N89" s="287"/>
      <c r="O89" s="287"/>
      <c r="P89" s="287"/>
      <c r="Q89" s="287"/>
      <c r="R89" s="287"/>
      <c r="S89" s="287"/>
      <c r="T89" s="287"/>
      <c r="U89" s="287"/>
    </row>
    <row r="90" ht="20" customHeight="1" spans="1:21">
      <c r="A90" s="497" t="s">
        <v>124</v>
      </c>
      <c r="B90" s="340"/>
      <c r="C90" s="314"/>
      <c r="D90" s="340"/>
      <c r="E90" s="493"/>
      <c r="F90" s="314">
        <f t="shared" si="10"/>
        <v>0</v>
      </c>
      <c r="G90" s="493"/>
      <c r="H90" s="307"/>
      <c r="I90" s="314">
        <f t="shared" si="11"/>
        <v>0</v>
      </c>
      <c r="J90" s="493"/>
      <c r="K90" s="330"/>
      <c r="L90" s="287"/>
      <c r="M90" s="287"/>
      <c r="N90" s="287"/>
      <c r="O90" s="287"/>
      <c r="P90" s="287"/>
      <c r="Q90" s="287"/>
      <c r="R90" s="287"/>
      <c r="S90" s="287"/>
      <c r="T90" s="287"/>
      <c r="U90" s="287"/>
    </row>
    <row r="91" ht="20" customHeight="1" spans="1:21">
      <c r="A91" s="497" t="s">
        <v>125</v>
      </c>
      <c r="B91" s="340">
        <v>-38.613895</v>
      </c>
      <c r="C91" s="314"/>
      <c r="D91" s="340"/>
      <c r="E91" s="493"/>
      <c r="F91" s="314">
        <f t="shared" si="10"/>
        <v>38.613895</v>
      </c>
      <c r="G91" s="493">
        <f t="shared" si="13"/>
        <v>-100</v>
      </c>
      <c r="H91" s="307"/>
      <c r="I91" s="314">
        <f t="shared" si="11"/>
        <v>0</v>
      </c>
      <c r="J91" s="493"/>
      <c r="K91" s="330"/>
      <c r="L91" s="287"/>
      <c r="M91" s="287"/>
      <c r="N91" s="287"/>
      <c r="O91" s="287"/>
      <c r="P91" s="287"/>
      <c r="Q91" s="287"/>
      <c r="R91" s="287"/>
      <c r="S91" s="287"/>
      <c r="T91" s="287"/>
      <c r="U91" s="287"/>
    </row>
    <row r="92" ht="20" customHeight="1" spans="1:21">
      <c r="A92" s="497" t="s">
        <v>126</v>
      </c>
      <c r="B92" s="340">
        <v>301.62</v>
      </c>
      <c r="C92" s="314">
        <v>31.11</v>
      </c>
      <c r="D92" s="340">
        <v>55</v>
      </c>
      <c r="E92" s="493">
        <f>D92/C92*100</f>
        <v>176.792028286725</v>
      </c>
      <c r="F92" s="314">
        <f t="shared" si="10"/>
        <v>-246.62</v>
      </c>
      <c r="G92" s="493">
        <f t="shared" si="13"/>
        <v>-81.7651349380015</v>
      </c>
      <c r="H92" s="307">
        <v>3</v>
      </c>
      <c r="I92" s="314">
        <f t="shared" si="11"/>
        <v>-52</v>
      </c>
      <c r="J92" s="493">
        <f t="shared" si="12"/>
        <v>-94.5454545454545</v>
      </c>
      <c r="K92" s="330"/>
      <c r="L92" s="287"/>
      <c r="M92" s="287"/>
      <c r="N92" s="287"/>
      <c r="O92" s="287"/>
      <c r="P92" s="287"/>
      <c r="Q92" s="287"/>
      <c r="R92" s="287"/>
      <c r="S92" s="287"/>
      <c r="T92" s="287"/>
      <c r="U92" s="287"/>
    </row>
    <row r="93" ht="20" customHeight="1" spans="1:21">
      <c r="A93" s="497" t="s">
        <v>127</v>
      </c>
      <c r="B93" s="340">
        <v>620.27</v>
      </c>
      <c r="C93" s="314">
        <v>364.76</v>
      </c>
      <c r="D93" s="340">
        <v>3197</v>
      </c>
      <c r="E93" s="493">
        <f>D93/C93*100</f>
        <v>876.466717841869</v>
      </c>
      <c r="F93" s="314">
        <f t="shared" si="10"/>
        <v>2576.73</v>
      </c>
      <c r="G93" s="493">
        <f t="shared" si="13"/>
        <v>415.420703887017</v>
      </c>
      <c r="H93" s="307">
        <v>28.28</v>
      </c>
      <c r="I93" s="314">
        <f t="shared" si="11"/>
        <v>-3168.72</v>
      </c>
      <c r="J93" s="493">
        <f t="shared" si="12"/>
        <v>-99.1154207069127</v>
      </c>
      <c r="K93" s="330"/>
      <c r="L93" s="287"/>
      <c r="M93" s="287"/>
      <c r="N93" s="287"/>
      <c r="O93" s="287"/>
      <c r="P93" s="287"/>
      <c r="Q93" s="287"/>
      <c r="R93" s="287"/>
      <c r="S93" s="287"/>
      <c r="T93" s="287"/>
      <c r="U93" s="287"/>
    </row>
    <row r="94" ht="20" customHeight="1" spans="1:21">
      <c r="A94" s="497" t="s">
        <v>128</v>
      </c>
      <c r="B94" s="340">
        <v>124.774834</v>
      </c>
      <c r="C94" s="314">
        <v>1063</v>
      </c>
      <c r="D94" s="340">
        <v>1249</v>
      </c>
      <c r="E94" s="493">
        <f>D94/C94*100</f>
        <v>117.497648165569</v>
      </c>
      <c r="F94" s="314">
        <f t="shared" si="10"/>
        <v>1124.225166</v>
      </c>
      <c r="G94" s="493">
        <f t="shared" si="13"/>
        <v>901.003134975118</v>
      </c>
      <c r="H94" s="307"/>
      <c r="I94" s="314">
        <f t="shared" si="11"/>
        <v>-1249</v>
      </c>
      <c r="J94" s="493">
        <f t="shared" si="12"/>
        <v>-100</v>
      </c>
      <c r="K94" s="330"/>
      <c r="L94" s="287"/>
      <c r="M94" s="287"/>
      <c r="N94" s="287"/>
      <c r="O94" s="287"/>
      <c r="P94" s="287"/>
      <c r="Q94" s="287"/>
      <c r="R94" s="287"/>
      <c r="S94" s="287"/>
      <c r="T94" s="287"/>
      <c r="U94" s="287"/>
    </row>
    <row r="95" ht="20" customHeight="1" spans="1:21">
      <c r="A95" s="497" t="s">
        <v>129</v>
      </c>
      <c r="B95" s="340">
        <v>782</v>
      </c>
      <c r="C95" s="314"/>
      <c r="D95" s="340">
        <v>7992</v>
      </c>
      <c r="E95" s="493"/>
      <c r="F95" s="314">
        <f t="shared" si="10"/>
        <v>7210</v>
      </c>
      <c r="G95" s="493">
        <f t="shared" si="13"/>
        <v>921.994884910486</v>
      </c>
      <c r="H95" s="307"/>
      <c r="I95" s="314">
        <f t="shared" si="11"/>
        <v>-7992</v>
      </c>
      <c r="J95" s="493">
        <f t="shared" si="12"/>
        <v>-100</v>
      </c>
      <c r="K95" s="330"/>
      <c r="L95" s="287"/>
      <c r="M95" s="287"/>
      <c r="N95" s="287"/>
      <c r="O95" s="287"/>
      <c r="P95" s="287"/>
      <c r="Q95" s="287"/>
      <c r="R95" s="287"/>
      <c r="S95" s="287"/>
      <c r="T95" s="287"/>
      <c r="U95" s="287"/>
    </row>
    <row r="96" ht="20" customHeight="1" spans="1:21">
      <c r="A96" s="497" t="s">
        <v>130</v>
      </c>
      <c r="B96" s="340">
        <v>3548.58</v>
      </c>
      <c r="C96" s="314">
        <v>4531.69</v>
      </c>
      <c r="D96" s="340">
        <v>6526</v>
      </c>
      <c r="E96" s="493">
        <f>D96/C96*100</f>
        <v>144.008085283857</v>
      </c>
      <c r="F96" s="314">
        <f t="shared" si="10"/>
        <v>2977.42</v>
      </c>
      <c r="G96" s="493">
        <f t="shared" si="13"/>
        <v>83.9045477345868</v>
      </c>
      <c r="H96" s="307">
        <v>4170.16</v>
      </c>
      <c r="I96" s="314">
        <f t="shared" si="11"/>
        <v>-2355.84</v>
      </c>
      <c r="J96" s="493">
        <f t="shared" si="12"/>
        <v>-36.0992951271836</v>
      </c>
      <c r="K96" s="330"/>
      <c r="L96" s="287"/>
      <c r="M96" s="287"/>
      <c r="N96" s="287"/>
      <c r="O96" s="287"/>
      <c r="P96" s="287"/>
      <c r="Q96" s="287"/>
      <c r="R96" s="287"/>
      <c r="S96" s="287"/>
      <c r="T96" s="287"/>
      <c r="U96" s="287"/>
    </row>
    <row r="97" ht="20" customHeight="1" spans="1:21">
      <c r="A97" s="497" t="s">
        <v>131</v>
      </c>
      <c r="B97" s="340">
        <v>497.3715</v>
      </c>
      <c r="C97" s="314">
        <v>630</v>
      </c>
      <c r="D97" s="340">
        <v>1092</v>
      </c>
      <c r="E97" s="493">
        <f>D97/C97*100</f>
        <v>173.333333333333</v>
      </c>
      <c r="F97" s="314">
        <f t="shared" si="10"/>
        <v>594.6285</v>
      </c>
      <c r="G97" s="493">
        <f t="shared" si="13"/>
        <v>119.55419641053</v>
      </c>
      <c r="H97" s="307">
        <v>1137</v>
      </c>
      <c r="I97" s="314">
        <f t="shared" si="11"/>
        <v>45</v>
      </c>
      <c r="J97" s="493">
        <f t="shared" si="12"/>
        <v>4.12087912087912</v>
      </c>
      <c r="K97" s="330"/>
      <c r="L97" s="287"/>
      <c r="M97" s="287"/>
      <c r="N97" s="287"/>
      <c r="O97" s="287"/>
      <c r="P97" s="287"/>
      <c r="Q97" s="287"/>
      <c r="R97" s="287"/>
      <c r="S97" s="287"/>
      <c r="T97" s="287"/>
      <c r="U97" s="287"/>
    </row>
    <row r="98" ht="20" customHeight="1" spans="1:21">
      <c r="A98" s="497" t="s">
        <v>132</v>
      </c>
      <c r="B98" s="340">
        <v>3757.99</v>
      </c>
      <c r="C98" s="314"/>
      <c r="D98" s="340">
        <v>5247</v>
      </c>
      <c r="E98" s="493"/>
      <c r="F98" s="314">
        <f t="shared" si="10"/>
        <v>1489.01</v>
      </c>
      <c r="G98" s="493">
        <f t="shared" si="13"/>
        <v>39.62251096996</v>
      </c>
      <c r="H98" s="307"/>
      <c r="I98" s="314">
        <f t="shared" si="11"/>
        <v>-5247</v>
      </c>
      <c r="J98" s="493">
        <f t="shared" si="12"/>
        <v>-100</v>
      </c>
      <c r="K98" s="330"/>
      <c r="L98" s="287"/>
      <c r="M98" s="287"/>
      <c r="N98" s="287"/>
      <c r="O98" s="287"/>
      <c r="P98" s="287"/>
      <c r="Q98" s="287"/>
      <c r="R98" s="287"/>
      <c r="S98" s="287"/>
      <c r="T98" s="287"/>
      <c r="U98" s="287"/>
    </row>
    <row r="99" ht="20" customHeight="1" spans="1:21">
      <c r="A99" s="497" t="s">
        <v>133</v>
      </c>
      <c r="B99" s="340"/>
      <c r="C99" s="314"/>
      <c r="D99" s="340"/>
      <c r="E99" s="493"/>
      <c r="F99" s="314">
        <f t="shared" si="10"/>
        <v>0</v>
      </c>
      <c r="G99" s="493"/>
      <c r="H99" s="307"/>
      <c r="I99" s="314">
        <f t="shared" si="11"/>
        <v>0</v>
      </c>
      <c r="J99" s="493"/>
      <c r="K99" s="330"/>
      <c r="L99" s="287"/>
      <c r="M99" s="287"/>
      <c r="N99" s="287"/>
      <c r="O99" s="287"/>
      <c r="P99" s="287"/>
      <c r="Q99" s="287"/>
      <c r="R99" s="287"/>
      <c r="S99" s="287"/>
      <c r="T99" s="287"/>
      <c r="U99" s="287"/>
    </row>
    <row r="100" ht="20" customHeight="1" spans="1:21">
      <c r="A100" s="497" t="s">
        <v>134</v>
      </c>
      <c r="B100" s="340">
        <v>1783.128556</v>
      </c>
      <c r="C100" s="314"/>
      <c r="D100" s="340">
        <v>892</v>
      </c>
      <c r="E100" s="493"/>
      <c r="F100" s="314">
        <f t="shared" si="10"/>
        <v>-891.128556</v>
      </c>
      <c r="G100" s="493">
        <f t="shared" si="13"/>
        <v>-49.9755641847284</v>
      </c>
      <c r="H100" s="307"/>
      <c r="I100" s="314">
        <f t="shared" si="11"/>
        <v>-892</v>
      </c>
      <c r="J100" s="493">
        <f t="shared" si="12"/>
        <v>-100</v>
      </c>
      <c r="K100" s="330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</row>
    <row r="101" ht="20" customHeight="1" spans="1:21">
      <c r="A101" s="497" t="s">
        <v>135</v>
      </c>
      <c r="B101" s="340">
        <v>780.3407</v>
      </c>
      <c r="C101" s="314"/>
      <c r="D101" s="340">
        <v>1778</v>
      </c>
      <c r="E101" s="493"/>
      <c r="F101" s="314">
        <f t="shared" si="10"/>
        <v>997.6593</v>
      </c>
      <c r="G101" s="493">
        <f t="shared" si="13"/>
        <v>127.849194588979</v>
      </c>
      <c r="H101" s="307">
        <v>360</v>
      </c>
      <c r="I101" s="314">
        <f t="shared" si="11"/>
        <v>-1418</v>
      </c>
      <c r="J101" s="493">
        <f t="shared" si="12"/>
        <v>-79.7525309336333</v>
      </c>
      <c r="K101" s="330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</row>
    <row r="102" ht="20" customHeight="1" spans="1:21">
      <c r="A102" s="497" t="s">
        <v>136</v>
      </c>
      <c r="B102" s="340">
        <v>1139</v>
      </c>
      <c r="C102" s="314"/>
      <c r="D102" s="340"/>
      <c r="E102" s="493"/>
      <c r="F102" s="314">
        <f t="shared" si="10"/>
        <v>-1139</v>
      </c>
      <c r="G102" s="493">
        <f t="shared" si="13"/>
        <v>-100</v>
      </c>
      <c r="H102" s="307"/>
      <c r="I102" s="314">
        <f t="shared" si="11"/>
        <v>0</v>
      </c>
      <c r="J102" s="493"/>
      <c r="K102" s="330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</row>
    <row r="103" ht="20" customHeight="1" spans="1:21">
      <c r="A103" s="497" t="s">
        <v>137</v>
      </c>
      <c r="B103" s="340">
        <v>164.2</v>
      </c>
      <c r="C103" s="314">
        <v>12.5</v>
      </c>
      <c r="D103" s="340">
        <v>12</v>
      </c>
      <c r="E103" s="493">
        <f>D103/C103*100</f>
        <v>96</v>
      </c>
      <c r="F103" s="314">
        <f t="shared" si="10"/>
        <v>-152.2</v>
      </c>
      <c r="G103" s="493">
        <f t="shared" si="13"/>
        <v>-92.6918392204628</v>
      </c>
      <c r="H103" s="307"/>
      <c r="I103" s="314">
        <f t="shared" si="11"/>
        <v>-12</v>
      </c>
      <c r="J103" s="493">
        <f>I103/D103*100</f>
        <v>-100</v>
      </c>
      <c r="K103" s="330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</row>
    <row r="104" ht="20" customHeight="1" spans="1:21">
      <c r="A104" s="497" t="s">
        <v>138</v>
      </c>
      <c r="B104" s="340">
        <v>54.6</v>
      </c>
      <c r="C104" s="314">
        <v>362.52</v>
      </c>
      <c r="D104" s="340">
        <v>536</v>
      </c>
      <c r="E104" s="493">
        <f>D104/C104*100</f>
        <v>147.853911508331</v>
      </c>
      <c r="F104" s="314">
        <f t="shared" si="10"/>
        <v>481.4</v>
      </c>
      <c r="G104" s="493">
        <f t="shared" si="13"/>
        <v>881.684981684982</v>
      </c>
      <c r="H104" s="307">
        <v>118.13</v>
      </c>
      <c r="I104" s="314">
        <f t="shared" si="11"/>
        <v>-417.87</v>
      </c>
      <c r="J104" s="493">
        <f>I104/D104*100</f>
        <v>-77.9608208955224</v>
      </c>
      <c r="K104" s="330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</row>
    <row r="105" ht="20" customHeight="1" spans="1:21">
      <c r="A105" s="497" t="s">
        <v>139</v>
      </c>
      <c r="B105" s="340"/>
      <c r="C105" s="314"/>
      <c r="D105" s="340"/>
      <c r="E105" s="493"/>
      <c r="F105" s="314">
        <f t="shared" si="10"/>
        <v>0</v>
      </c>
      <c r="G105" s="493"/>
      <c r="H105" s="307"/>
      <c r="I105" s="314">
        <f t="shared" si="11"/>
        <v>0</v>
      </c>
      <c r="J105" s="493"/>
      <c r="K105" s="330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</row>
    <row r="106" s="278" customFormat="1" ht="20" customHeight="1" spans="1:21">
      <c r="A106" s="494" t="s">
        <v>140</v>
      </c>
      <c r="B106" s="314">
        <v>44457</v>
      </c>
      <c r="C106" s="314">
        <v>16138</v>
      </c>
      <c r="D106" s="314">
        <v>16343</v>
      </c>
      <c r="E106" s="493">
        <f>D106/C106*100</f>
        <v>101.270293716694</v>
      </c>
      <c r="F106" s="314">
        <f t="shared" si="10"/>
        <v>-28114</v>
      </c>
      <c r="G106" s="493">
        <f>F106/B106*100</f>
        <v>-63.2386350855883</v>
      </c>
      <c r="H106" s="307">
        <v>16475</v>
      </c>
      <c r="I106" s="314">
        <f t="shared" si="11"/>
        <v>132</v>
      </c>
      <c r="J106" s="493">
        <f>I106/D106*100</f>
        <v>0.807685247506578</v>
      </c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</row>
    <row r="107" s="278" customFormat="1" ht="20" customHeight="1" spans="1:21">
      <c r="A107" s="494" t="s">
        <v>141</v>
      </c>
      <c r="B107" s="502">
        <f>SUM(B108:B110)</f>
        <v>708</v>
      </c>
      <c r="C107" s="314">
        <f>SUM(C108:C110)</f>
        <v>10685</v>
      </c>
      <c r="D107" s="325">
        <f>D108+D109+D110</f>
        <v>5815</v>
      </c>
      <c r="E107" s="493">
        <f>D107/C107*100</f>
        <v>54.4220870379036</v>
      </c>
      <c r="F107" s="314">
        <f t="shared" si="10"/>
        <v>5107</v>
      </c>
      <c r="G107" s="493">
        <f>F107/B107*100</f>
        <v>721.327683615819</v>
      </c>
      <c r="H107" s="314">
        <f>H108+H109</f>
        <v>10113</v>
      </c>
      <c r="I107" s="314">
        <f t="shared" si="11"/>
        <v>4298</v>
      </c>
      <c r="J107" s="493">
        <f>I107/D107*100</f>
        <v>73.9122957867584</v>
      </c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</row>
    <row r="108" ht="20" customHeight="1" spans="1:21">
      <c r="A108" s="494" t="s">
        <v>142</v>
      </c>
      <c r="B108" s="314">
        <v>391</v>
      </c>
      <c r="C108" s="314">
        <v>10557</v>
      </c>
      <c r="D108" s="314">
        <v>5651</v>
      </c>
      <c r="E108" s="493">
        <f>D108/C108*100</f>
        <v>53.528464525907</v>
      </c>
      <c r="F108" s="314">
        <f t="shared" si="10"/>
        <v>5260</v>
      </c>
      <c r="G108" s="493">
        <f>F108/B108*100</f>
        <v>1345.26854219949</v>
      </c>
      <c r="H108" s="307">
        <v>10000</v>
      </c>
      <c r="I108" s="314">
        <f t="shared" si="11"/>
        <v>4349</v>
      </c>
      <c r="J108" s="493">
        <f>I108/D108*100</f>
        <v>76.9598301185631</v>
      </c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</row>
    <row r="109" ht="20" customHeight="1" spans="1:21">
      <c r="A109" s="494" t="s">
        <v>143</v>
      </c>
      <c r="B109" s="314">
        <v>317</v>
      </c>
      <c r="C109" s="314">
        <v>128</v>
      </c>
      <c r="D109" s="314">
        <v>164</v>
      </c>
      <c r="E109" s="493">
        <f>D109/C109*100</f>
        <v>128.125</v>
      </c>
      <c r="F109" s="314">
        <f t="shared" si="10"/>
        <v>-153</v>
      </c>
      <c r="G109" s="493">
        <f>F109/B109*100</f>
        <v>-48.2649842271293</v>
      </c>
      <c r="H109" s="307">
        <v>113</v>
      </c>
      <c r="I109" s="314">
        <f t="shared" si="11"/>
        <v>-51</v>
      </c>
      <c r="J109" s="493">
        <f>I109/D109*100</f>
        <v>-31.0975609756098</v>
      </c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</row>
    <row r="110" ht="20" customHeight="1" spans="1:21">
      <c r="A110" s="494" t="s">
        <v>144</v>
      </c>
      <c r="B110" s="314"/>
      <c r="C110" s="314"/>
      <c r="D110" s="314"/>
      <c r="E110" s="493"/>
      <c r="F110" s="314">
        <f t="shared" si="10"/>
        <v>0</v>
      </c>
      <c r="G110" s="493"/>
      <c r="H110" s="314"/>
      <c r="I110" s="314">
        <f t="shared" si="11"/>
        <v>0</v>
      </c>
      <c r="J110" s="493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</row>
    <row r="111" s="278" customFormat="1" ht="20" customHeight="1" spans="1:21">
      <c r="A111" s="494" t="s">
        <v>145</v>
      </c>
      <c r="B111" s="314"/>
      <c r="C111" s="314"/>
      <c r="D111" s="314">
        <v>9804</v>
      </c>
      <c r="E111" s="493"/>
      <c r="F111" s="314">
        <f t="shared" si="10"/>
        <v>9804</v>
      </c>
      <c r="G111" s="493"/>
      <c r="H111" s="314"/>
      <c r="I111" s="314">
        <f t="shared" si="11"/>
        <v>-9804</v>
      </c>
      <c r="J111" s="493">
        <f>I111/D111*100</f>
        <v>-100</v>
      </c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</row>
    <row r="112" s="278" customFormat="1" ht="20" customHeight="1" spans="1:21">
      <c r="A112" s="341" t="s">
        <v>146</v>
      </c>
      <c r="B112" s="314">
        <v>17505</v>
      </c>
      <c r="C112" s="314"/>
      <c r="D112" s="314">
        <v>7776</v>
      </c>
      <c r="E112" s="493"/>
      <c r="F112" s="314">
        <f t="shared" si="10"/>
        <v>-9729</v>
      </c>
      <c r="G112" s="493">
        <f>F112/B112*100</f>
        <v>-55.5784061696658</v>
      </c>
      <c r="H112" s="314"/>
      <c r="I112" s="314">
        <f t="shared" si="11"/>
        <v>-7776</v>
      </c>
      <c r="J112" s="493">
        <f>I112/D112*100</f>
        <v>-100</v>
      </c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</row>
    <row r="113" s="277" customFormat="1" ht="20" customHeight="1" spans="1:21">
      <c r="A113" s="321" t="s">
        <v>147</v>
      </c>
      <c r="B113" s="312">
        <f>B43+B44</f>
        <v>308066.458385</v>
      </c>
      <c r="C113" s="312">
        <f>C43+C44</f>
        <v>239750.299286</v>
      </c>
      <c r="D113" s="312">
        <f>D43+D44</f>
        <v>324975.44</v>
      </c>
      <c r="E113" s="490">
        <f>D113/C113*100</f>
        <v>135.547459572651</v>
      </c>
      <c r="F113" s="491">
        <f t="shared" si="10"/>
        <v>16908.981615</v>
      </c>
      <c r="G113" s="490">
        <f>F113/B113*100</f>
        <v>5.4887447674905</v>
      </c>
      <c r="H113" s="312">
        <f>H43+H44</f>
        <v>273128.43</v>
      </c>
      <c r="I113" s="491">
        <f t="shared" si="11"/>
        <v>-51847.01</v>
      </c>
      <c r="J113" s="490">
        <f>I113/D113*100</f>
        <v>-15.9541317953135</v>
      </c>
      <c r="K113" s="304"/>
      <c r="L113" s="304"/>
      <c r="M113" s="304"/>
      <c r="N113" s="304"/>
      <c r="O113" s="304"/>
      <c r="P113" s="304"/>
      <c r="Q113" s="304"/>
      <c r="R113" s="304"/>
      <c r="S113" s="304"/>
      <c r="T113" s="304"/>
      <c r="U113" s="304"/>
    </row>
    <row r="114" spans="1:21">
      <c r="A114" s="503"/>
      <c r="B114" s="504"/>
      <c r="C114" s="484"/>
      <c r="D114" s="484"/>
      <c r="E114" s="485"/>
      <c r="F114" s="486"/>
      <c r="G114" s="485"/>
      <c r="H114" s="484"/>
      <c r="I114" s="505"/>
      <c r="J114" s="485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</row>
    <row r="115" spans="1:21">
      <c r="A115" s="506"/>
      <c r="B115" s="504"/>
      <c r="C115" s="484"/>
      <c r="D115" s="484"/>
      <c r="E115" s="485"/>
      <c r="F115" s="486"/>
      <c r="G115" s="485"/>
      <c r="H115" s="484"/>
      <c r="I115" s="505"/>
      <c r="J115" s="485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</row>
    <row r="116" spans="1:21">
      <c r="A116" s="506"/>
      <c r="B116" s="504"/>
      <c r="C116" s="484"/>
      <c r="D116" s="484"/>
      <c r="E116" s="485"/>
      <c r="F116" s="486"/>
      <c r="G116" s="485"/>
      <c r="H116" s="484"/>
      <c r="I116" s="505"/>
      <c r="J116" s="485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</row>
    <row r="117" spans="1:21">
      <c r="A117" s="506"/>
      <c r="B117" s="504"/>
      <c r="C117" s="484"/>
      <c r="D117" s="484"/>
      <c r="E117" s="485"/>
      <c r="F117" s="486"/>
      <c r="G117" s="485"/>
      <c r="H117" s="484"/>
      <c r="I117" s="505"/>
      <c r="J117" s="485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</row>
    <row r="118" spans="1:21">
      <c r="A118" s="506"/>
      <c r="B118" s="504"/>
      <c r="C118" s="484"/>
      <c r="D118" s="484"/>
      <c r="E118" s="485"/>
      <c r="F118" s="486"/>
      <c r="G118" s="485"/>
      <c r="H118" s="484"/>
      <c r="I118" s="505"/>
      <c r="J118" s="485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</row>
    <row r="119" spans="1:21">
      <c r="A119" s="506"/>
      <c r="B119" s="504"/>
      <c r="C119" s="484"/>
      <c r="D119" s="484"/>
      <c r="E119" s="485"/>
      <c r="F119" s="486"/>
      <c r="G119" s="485"/>
      <c r="H119" s="484"/>
      <c r="I119" s="505"/>
      <c r="J119" s="485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</row>
    <row r="120" spans="1:21">
      <c r="A120" s="506"/>
      <c r="B120" s="504"/>
      <c r="C120" s="484"/>
      <c r="D120" s="484"/>
      <c r="E120" s="485"/>
      <c r="F120" s="486"/>
      <c r="G120" s="485"/>
      <c r="H120" s="484"/>
      <c r="I120" s="505"/>
      <c r="J120" s="485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</row>
    <row r="121" spans="1:21">
      <c r="A121" s="506"/>
      <c r="B121" s="504"/>
      <c r="C121" s="484"/>
      <c r="D121" s="484"/>
      <c r="E121" s="485"/>
      <c r="F121" s="486"/>
      <c r="G121" s="485"/>
      <c r="H121" s="484"/>
      <c r="I121" s="505"/>
      <c r="J121" s="485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</row>
    <row r="122" spans="1:21">
      <c r="A122" s="506"/>
      <c r="B122" s="504"/>
      <c r="C122" s="484"/>
      <c r="D122" s="484"/>
      <c r="E122" s="485"/>
      <c r="F122" s="486"/>
      <c r="G122" s="485"/>
      <c r="H122" s="484"/>
      <c r="I122" s="505"/>
      <c r="J122" s="485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</row>
    <row r="123" spans="1:21">
      <c r="A123" s="506"/>
      <c r="B123" s="504"/>
      <c r="C123" s="484"/>
      <c r="D123" s="484"/>
      <c r="E123" s="485"/>
      <c r="F123" s="486"/>
      <c r="G123" s="485"/>
      <c r="H123" s="484"/>
      <c r="I123" s="505"/>
      <c r="J123" s="485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</row>
    <row r="124" spans="1:21">
      <c r="A124" s="506"/>
      <c r="B124" s="504"/>
      <c r="C124" s="484"/>
      <c r="D124" s="484"/>
      <c r="E124" s="485"/>
      <c r="F124" s="486"/>
      <c r="G124" s="485"/>
      <c r="H124" s="484"/>
      <c r="I124" s="505"/>
      <c r="J124" s="485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</row>
    <row r="125" spans="1:21">
      <c r="A125" s="287"/>
      <c r="B125" s="484"/>
      <c r="C125" s="484"/>
      <c r="D125" s="484"/>
      <c r="E125" s="485"/>
      <c r="F125" s="486"/>
      <c r="G125" s="485"/>
      <c r="H125" s="484"/>
      <c r="I125" s="486"/>
      <c r="J125" s="485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</row>
    <row r="126" spans="1:21">
      <c r="A126" s="287"/>
      <c r="B126" s="484"/>
      <c r="C126" s="484"/>
      <c r="D126" s="484"/>
      <c r="E126" s="485"/>
      <c r="F126" s="486"/>
      <c r="G126" s="485"/>
      <c r="H126" s="484"/>
      <c r="I126" s="486"/>
      <c r="J126" s="485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</row>
    <row r="127" spans="1:21">
      <c r="A127" s="287"/>
      <c r="B127" s="484"/>
      <c r="C127" s="484"/>
      <c r="D127" s="484"/>
      <c r="E127" s="485"/>
      <c r="F127" s="486"/>
      <c r="G127" s="485"/>
      <c r="H127" s="484"/>
      <c r="I127" s="486"/>
      <c r="J127" s="485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</row>
    <row r="128" spans="1:21">
      <c r="A128" s="287"/>
      <c r="B128" s="484"/>
      <c r="C128" s="484"/>
      <c r="D128" s="484"/>
      <c r="E128" s="485"/>
      <c r="F128" s="486"/>
      <c r="G128" s="485"/>
      <c r="H128" s="484"/>
      <c r="I128" s="486"/>
      <c r="J128" s="485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</row>
    <row r="129" spans="1:21">
      <c r="A129" s="287"/>
      <c r="B129" s="484"/>
      <c r="C129" s="484"/>
      <c r="D129" s="484"/>
      <c r="E129" s="485"/>
      <c r="F129" s="486"/>
      <c r="G129" s="485"/>
      <c r="H129" s="484"/>
      <c r="I129" s="486"/>
      <c r="J129" s="485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</row>
    <row r="130" spans="1:21">
      <c r="A130" s="287"/>
      <c r="B130" s="484"/>
      <c r="C130" s="484"/>
      <c r="D130" s="484"/>
      <c r="E130" s="485"/>
      <c r="F130" s="486"/>
      <c r="G130" s="485"/>
      <c r="H130" s="484"/>
      <c r="I130" s="486"/>
      <c r="J130" s="485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</row>
    <row r="131" spans="1:21">
      <c r="A131" s="287"/>
      <c r="B131" s="484"/>
      <c r="C131" s="484"/>
      <c r="D131" s="484"/>
      <c r="E131" s="485"/>
      <c r="F131" s="486"/>
      <c r="G131" s="485"/>
      <c r="H131" s="484"/>
      <c r="I131" s="486"/>
      <c r="J131" s="485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</row>
    <row r="132" spans="1:21">
      <c r="A132" s="287"/>
      <c r="B132" s="484"/>
      <c r="C132" s="484"/>
      <c r="D132" s="484"/>
      <c r="E132" s="485"/>
      <c r="F132" s="486"/>
      <c r="G132" s="485"/>
      <c r="H132" s="484"/>
      <c r="I132" s="486"/>
      <c r="J132" s="485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</row>
    <row r="133" spans="1:21">
      <c r="A133" s="287"/>
      <c r="B133" s="484"/>
      <c r="C133" s="484"/>
      <c r="D133" s="484"/>
      <c r="E133" s="485"/>
      <c r="F133" s="486"/>
      <c r="G133" s="485"/>
      <c r="H133" s="484"/>
      <c r="I133" s="486"/>
      <c r="J133" s="485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</row>
    <row r="134" spans="1:21">
      <c r="A134" s="287"/>
      <c r="B134" s="484"/>
      <c r="C134" s="484"/>
      <c r="D134" s="484"/>
      <c r="E134" s="485"/>
      <c r="F134" s="486"/>
      <c r="G134" s="485"/>
      <c r="H134" s="484"/>
      <c r="I134" s="486"/>
      <c r="J134" s="485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</row>
    <row r="135" spans="1:21">
      <c r="A135" s="287"/>
      <c r="B135" s="484"/>
      <c r="C135" s="484"/>
      <c r="D135" s="484"/>
      <c r="E135" s="485"/>
      <c r="F135" s="486"/>
      <c r="G135" s="485"/>
      <c r="H135" s="484"/>
      <c r="I135" s="486"/>
      <c r="J135" s="485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</row>
    <row r="136" spans="1:21">
      <c r="A136" s="287"/>
      <c r="B136" s="484"/>
      <c r="C136" s="484"/>
      <c r="D136" s="484"/>
      <c r="E136" s="485"/>
      <c r="F136" s="486"/>
      <c r="G136" s="485"/>
      <c r="H136" s="484"/>
      <c r="I136" s="486"/>
      <c r="J136" s="485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</row>
    <row r="137" spans="1:21">
      <c r="A137" s="287"/>
      <c r="B137" s="484"/>
      <c r="C137" s="484"/>
      <c r="D137" s="484"/>
      <c r="E137" s="485"/>
      <c r="F137" s="486"/>
      <c r="G137" s="485"/>
      <c r="H137" s="484"/>
      <c r="I137" s="486"/>
      <c r="J137" s="485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</row>
    <row r="138" spans="1:21">
      <c r="A138" s="287"/>
      <c r="B138" s="484"/>
      <c r="C138" s="484"/>
      <c r="D138" s="484"/>
      <c r="E138" s="485"/>
      <c r="F138" s="486"/>
      <c r="G138" s="485"/>
      <c r="H138" s="484"/>
      <c r="I138" s="486"/>
      <c r="J138" s="485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</row>
    <row r="139" spans="1:21">
      <c r="A139" s="287"/>
      <c r="B139" s="484"/>
      <c r="C139" s="484"/>
      <c r="D139" s="484"/>
      <c r="E139" s="485"/>
      <c r="F139" s="486"/>
      <c r="G139" s="485"/>
      <c r="H139" s="484"/>
      <c r="I139" s="486"/>
      <c r="J139" s="485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</row>
    <row r="140" spans="1:21">
      <c r="A140" s="287"/>
      <c r="B140" s="484"/>
      <c r="C140" s="484"/>
      <c r="D140" s="484"/>
      <c r="E140" s="485"/>
      <c r="F140" s="486"/>
      <c r="G140" s="485"/>
      <c r="H140" s="484"/>
      <c r="I140" s="486"/>
      <c r="J140" s="485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</row>
    <row r="141" spans="1:21">
      <c r="A141" s="287"/>
      <c r="B141" s="484"/>
      <c r="C141" s="484"/>
      <c r="D141" s="484"/>
      <c r="E141" s="485"/>
      <c r="F141" s="486"/>
      <c r="G141" s="485"/>
      <c r="H141" s="484"/>
      <c r="I141" s="486"/>
      <c r="J141" s="485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</row>
    <row r="142" spans="1:21">
      <c r="A142" s="287"/>
      <c r="B142" s="484"/>
      <c r="C142" s="484"/>
      <c r="D142" s="484"/>
      <c r="E142" s="485"/>
      <c r="F142" s="486"/>
      <c r="G142" s="485"/>
      <c r="H142" s="484"/>
      <c r="I142" s="486"/>
      <c r="J142" s="485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</row>
    <row r="143" spans="1:21">
      <c r="A143" s="287"/>
      <c r="B143" s="484"/>
      <c r="C143" s="484"/>
      <c r="D143" s="484"/>
      <c r="E143" s="485"/>
      <c r="F143" s="486"/>
      <c r="G143" s="485"/>
      <c r="H143" s="484"/>
      <c r="I143" s="486"/>
      <c r="J143" s="485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</row>
    <row r="144" spans="1:21">
      <c r="A144" s="287"/>
      <c r="B144" s="484"/>
      <c r="C144" s="484"/>
      <c r="D144" s="484"/>
      <c r="E144" s="485"/>
      <c r="F144" s="486"/>
      <c r="G144" s="485"/>
      <c r="H144" s="484"/>
      <c r="I144" s="486"/>
      <c r="J144" s="485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</row>
    <row r="145" spans="1:21">
      <c r="A145" s="287"/>
      <c r="B145" s="484"/>
      <c r="C145" s="484"/>
      <c r="D145" s="484"/>
      <c r="E145" s="485"/>
      <c r="F145" s="486"/>
      <c r="G145" s="485"/>
      <c r="H145" s="484"/>
      <c r="I145" s="486"/>
      <c r="J145" s="485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</row>
    <row r="146" spans="1:21">
      <c r="A146" s="287"/>
      <c r="B146" s="484"/>
      <c r="C146" s="484"/>
      <c r="D146" s="484"/>
      <c r="E146" s="485"/>
      <c r="F146" s="486"/>
      <c r="G146" s="485"/>
      <c r="H146" s="484"/>
      <c r="I146" s="486"/>
      <c r="J146" s="485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</row>
    <row r="147" spans="1:21">
      <c r="A147" s="287"/>
      <c r="B147" s="484"/>
      <c r="C147" s="484"/>
      <c r="D147" s="484"/>
      <c r="E147" s="485"/>
      <c r="F147" s="486"/>
      <c r="G147" s="485"/>
      <c r="H147" s="484"/>
      <c r="I147" s="486"/>
      <c r="J147" s="485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</row>
    <row r="148" spans="1:21">
      <c r="A148" s="287"/>
      <c r="B148" s="484"/>
      <c r="C148" s="484"/>
      <c r="D148" s="484"/>
      <c r="E148" s="485"/>
      <c r="F148" s="486"/>
      <c r="G148" s="485"/>
      <c r="H148" s="484"/>
      <c r="I148" s="486"/>
      <c r="J148" s="485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</row>
    <row r="149" spans="1:21">
      <c r="A149" s="287"/>
      <c r="B149" s="484"/>
      <c r="C149" s="484"/>
      <c r="D149" s="484"/>
      <c r="E149" s="485"/>
      <c r="F149" s="486"/>
      <c r="G149" s="485"/>
      <c r="H149" s="484"/>
      <c r="I149" s="486"/>
      <c r="J149" s="485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</row>
    <row r="150" spans="1:21">
      <c r="A150" s="287"/>
      <c r="B150" s="484"/>
      <c r="C150" s="484"/>
      <c r="D150" s="484"/>
      <c r="E150" s="485"/>
      <c r="F150" s="486"/>
      <c r="G150" s="485"/>
      <c r="H150" s="484"/>
      <c r="I150" s="486"/>
      <c r="J150" s="485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</row>
    <row r="151" spans="1:21">
      <c r="A151" s="287"/>
      <c r="B151" s="484"/>
      <c r="C151" s="484"/>
      <c r="D151" s="484"/>
      <c r="E151" s="485"/>
      <c r="F151" s="486"/>
      <c r="G151" s="485"/>
      <c r="H151" s="484"/>
      <c r="I151" s="486"/>
      <c r="J151" s="485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</row>
    <row r="152" spans="1:21">
      <c r="A152" s="287"/>
      <c r="B152" s="484"/>
      <c r="C152" s="484"/>
      <c r="D152" s="484"/>
      <c r="E152" s="485"/>
      <c r="F152" s="486"/>
      <c r="G152" s="485"/>
      <c r="H152" s="484"/>
      <c r="I152" s="486"/>
      <c r="J152" s="485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</row>
    <row r="153" spans="1:21">
      <c r="A153" s="287"/>
      <c r="B153" s="484"/>
      <c r="C153" s="484"/>
      <c r="D153" s="484"/>
      <c r="E153" s="485"/>
      <c r="F153" s="486"/>
      <c r="G153" s="485"/>
      <c r="H153" s="484"/>
      <c r="I153" s="486"/>
      <c r="J153" s="485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</row>
    <row r="154" spans="1:21">
      <c r="A154" s="287"/>
      <c r="B154" s="484"/>
      <c r="C154" s="484"/>
      <c r="D154" s="484"/>
      <c r="E154" s="485"/>
      <c r="F154" s="486"/>
      <c r="G154" s="485"/>
      <c r="H154" s="484"/>
      <c r="I154" s="486"/>
      <c r="J154" s="485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</row>
    <row r="155" spans="1:21">
      <c r="A155" s="287"/>
      <c r="B155" s="484"/>
      <c r="C155" s="484"/>
      <c r="D155" s="484"/>
      <c r="E155" s="485"/>
      <c r="F155" s="486"/>
      <c r="G155" s="485"/>
      <c r="H155" s="484"/>
      <c r="I155" s="486"/>
      <c r="J155" s="485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</row>
    <row r="156" spans="1:21">
      <c r="A156" s="287"/>
      <c r="B156" s="484"/>
      <c r="C156" s="484"/>
      <c r="D156" s="484"/>
      <c r="E156" s="485"/>
      <c r="F156" s="486"/>
      <c r="G156" s="485"/>
      <c r="H156" s="484"/>
      <c r="I156" s="486"/>
      <c r="J156" s="485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</row>
    <row r="157" spans="1:21">
      <c r="A157" s="287"/>
      <c r="B157" s="484"/>
      <c r="C157" s="484"/>
      <c r="D157" s="484"/>
      <c r="E157" s="485"/>
      <c r="F157" s="486"/>
      <c r="G157" s="485"/>
      <c r="H157" s="484"/>
      <c r="I157" s="486"/>
      <c r="J157" s="485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</row>
    <row r="158" spans="1:21">
      <c r="A158" s="287"/>
      <c r="B158" s="484"/>
      <c r="C158" s="484"/>
      <c r="D158" s="484"/>
      <c r="E158" s="485"/>
      <c r="F158" s="486"/>
      <c r="G158" s="485"/>
      <c r="H158" s="484"/>
      <c r="I158" s="486"/>
      <c r="J158" s="485"/>
      <c r="K158" s="287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</row>
    <row r="159" spans="1:21">
      <c r="A159" s="287"/>
      <c r="B159" s="484"/>
      <c r="C159" s="484"/>
      <c r="D159" s="484"/>
      <c r="E159" s="485"/>
      <c r="F159" s="486"/>
      <c r="G159" s="485"/>
      <c r="H159" s="484"/>
      <c r="I159" s="486"/>
      <c r="J159" s="485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</row>
    <row r="160" spans="1:21">
      <c r="A160" s="287"/>
      <c r="B160" s="484"/>
      <c r="C160" s="484"/>
      <c r="D160" s="484"/>
      <c r="E160" s="485"/>
      <c r="F160" s="486"/>
      <c r="G160" s="485"/>
      <c r="H160" s="484"/>
      <c r="I160" s="486"/>
      <c r="J160" s="485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</row>
    <row r="161" spans="1:21">
      <c r="A161" s="287"/>
      <c r="B161" s="484"/>
      <c r="C161" s="484"/>
      <c r="D161" s="484"/>
      <c r="E161" s="485"/>
      <c r="F161" s="486"/>
      <c r="G161" s="485"/>
      <c r="H161" s="484"/>
      <c r="I161" s="486"/>
      <c r="J161" s="485"/>
      <c r="K161" s="287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</row>
    <row r="162" spans="1:21">
      <c r="A162" s="287"/>
      <c r="B162" s="484"/>
      <c r="C162" s="484"/>
      <c r="D162" s="484"/>
      <c r="E162" s="485"/>
      <c r="F162" s="486"/>
      <c r="G162" s="485"/>
      <c r="H162" s="484"/>
      <c r="I162" s="486"/>
      <c r="J162" s="485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</row>
    <row r="163" spans="1:21">
      <c r="A163" s="287"/>
      <c r="B163" s="484"/>
      <c r="C163" s="484"/>
      <c r="D163" s="484"/>
      <c r="E163" s="485"/>
      <c r="F163" s="486"/>
      <c r="G163" s="485"/>
      <c r="H163" s="484"/>
      <c r="I163" s="486"/>
      <c r="J163" s="485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</row>
    <row r="164" spans="1:21">
      <c r="A164" s="503"/>
      <c r="B164" s="504"/>
      <c r="C164" s="484"/>
      <c r="D164" s="484"/>
      <c r="E164" s="485"/>
      <c r="F164" s="486"/>
      <c r="G164" s="485"/>
      <c r="H164" s="484"/>
      <c r="I164" s="486"/>
      <c r="J164" s="485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</row>
  </sheetData>
  <mergeCells count="12">
    <mergeCell ref="A1:J1"/>
    <mergeCell ref="I2:J2"/>
    <mergeCell ref="C3:G3"/>
    <mergeCell ref="H3:J3"/>
    <mergeCell ref="F4:G4"/>
    <mergeCell ref="I4:J4"/>
    <mergeCell ref="A3:A5"/>
    <mergeCell ref="B4:B5"/>
    <mergeCell ref="C4:C5"/>
    <mergeCell ref="D4:D5"/>
    <mergeCell ref="E4:E5"/>
    <mergeCell ref="H4:H5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216"/>
  <sheetViews>
    <sheetView showZeros="0" zoomScale="130" zoomScaleNormal="130" zoomScaleSheetLayoutView="60" workbookViewId="0">
      <pane ySplit="5" topLeftCell="A6" activePane="bottomLeft" state="frozen"/>
      <selection/>
      <selection pane="bottomLeft" activeCell="K1198" sqref="K1198"/>
    </sheetView>
  </sheetViews>
  <sheetFormatPr defaultColWidth="9" defaultRowHeight="15.75"/>
  <cols>
    <col min="1" max="1" width="8.1" style="381" customWidth="1"/>
    <col min="2" max="2" width="32.0583333333333" customWidth="1"/>
    <col min="3" max="3" width="10.625" style="282" customWidth="1"/>
    <col min="4" max="5" width="10.625" style="280" customWidth="1"/>
    <col min="6" max="6" width="10.625" style="281" customWidth="1"/>
    <col min="7" max="7" width="10.625" style="282" customWidth="1"/>
    <col min="8" max="8" width="10.625" style="281" customWidth="1"/>
    <col min="9" max="9" width="10.625" style="280" customWidth="1"/>
    <col min="10" max="10" width="10.625" style="282" customWidth="1"/>
    <col min="11" max="11" width="10.625" style="281" customWidth="1"/>
    <col min="12" max="12" width="9" customWidth="1"/>
    <col min="13" max="15" width="12.625" hidden="1" customWidth="1"/>
    <col min="16" max="16" width="10.375" hidden="1" customWidth="1"/>
    <col min="17" max="17" width="12.625" hidden="1" customWidth="1"/>
  </cols>
  <sheetData>
    <row r="1" customFormat="1" ht="24" spans="1:17">
      <c r="A1" s="382" t="s">
        <v>148</v>
      </c>
      <c r="B1" s="383"/>
      <c r="C1" s="384"/>
      <c r="D1" s="385"/>
      <c r="E1" s="385"/>
      <c r="F1" s="386"/>
      <c r="G1" s="384"/>
      <c r="H1" s="386"/>
      <c r="I1" s="385"/>
      <c r="J1" s="384"/>
      <c r="K1" s="386"/>
    </row>
    <row r="2" s="1" customFormat="1" spans="1:17">
      <c r="A2" s="387"/>
      <c r="B2" s="388"/>
      <c r="C2" s="385"/>
      <c r="D2" s="389"/>
      <c r="E2" s="389"/>
      <c r="F2" s="390"/>
      <c r="G2" s="384"/>
      <c r="H2" s="386"/>
      <c r="I2" s="385"/>
      <c r="J2" s="391" t="s">
        <v>26</v>
      </c>
      <c r="K2" s="392"/>
    </row>
    <row r="3" s="380" customFormat="1" ht="20" customHeight="1" spans="1:17">
      <c r="A3" s="393" t="s">
        <v>149</v>
      </c>
      <c r="B3" s="394" t="s">
        <v>150</v>
      </c>
      <c r="C3" s="395" t="s">
        <v>28</v>
      </c>
      <c r="D3" s="396" t="s">
        <v>29</v>
      </c>
      <c r="E3" s="396"/>
      <c r="F3" s="397"/>
      <c r="G3" s="398"/>
      <c r="H3" s="397"/>
      <c r="I3" s="396" t="s">
        <v>30</v>
      </c>
      <c r="J3" s="398"/>
      <c r="K3" s="397"/>
    </row>
    <row r="4" s="380" customFormat="1" ht="20" customHeight="1" spans="1:17">
      <c r="A4" s="399"/>
      <c r="B4" s="400"/>
      <c r="C4" s="401" t="s">
        <v>151</v>
      </c>
      <c r="D4" s="401" t="s">
        <v>152</v>
      </c>
      <c r="E4" s="401" t="s">
        <v>153</v>
      </c>
      <c r="F4" s="402" t="s">
        <v>154</v>
      </c>
      <c r="G4" s="403" t="s">
        <v>155</v>
      </c>
      <c r="H4" s="397"/>
      <c r="I4" s="404" t="s">
        <v>36</v>
      </c>
      <c r="J4" s="405" t="s">
        <v>156</v>
      </c>
      <c r="K4" s="406"/>
    </row>
    <row r="5" s="380" customFormat="1" ht="19" customHeight="1" spans="1:17">
      <c r="A5" s="399"/>
      <c r="B5" s="400"/>
      <c r="C5" s="407"/>
      <c r="D5" s="407"/>
      <c r="E5" s="407"/>
      <c r="F5" s="408"/>
      <c r="G5" s="403" t="s">
        <v>157</v>
      </c>
      <c r="H5" s="409" t="s">
        <v>39</v>
      </c>
      <c r="I5" s="396"/>
      <c r="J5" s="403" t="s">
        <v>157</v>
      </c>
      <c r="K5" s="409" t="s">
        <v>39</v>
      </c>
      <c r="M5" s="410" t="s">
        <v>158</v>
      </c>
      <c r="N5" s="411" t="s">
        <v>159</v>
      </c>
      <c r="O5" s="411" t="s">
        <v>160</v>
      </c>
      <c r="P5" s="410" t="s">
        <v>161</v>
      </c>
      <c r="Q5" s="410" t="s">
        <v>162</v>
      </c>
    </row>
    <row r="6" s="278" customFormat="1" ht="20" customHeight="1" spans="1:17">
      <c r="A6" s="412">
        <v>201</v>
      </c>
      <c r="B6" s="413" t="s">
        <v>163</v>
      </c>
      <c r="C6" s="346">
        <f>SUM(C7:C247)/2</f>
        <v>23939.97152</v>
      </c>
      <c r="D6" s="346">
        <f>SUM(D7:D247)/2</f>
        <v>15707.423521</v>
      </c>
      <c r="E6" s="346">
        <f>SUM(E7:E247)/2</f>
        <v>19039</v>
      </c>
      <c r="F6" s="414">
        <f>E6/D6*100</f>
        <v>121.210203408254</v>
      </c>
      <c r="G6" s="346">
        <f>E6-C6</f>
        <v>-4900.97152</v>
      </c>
      <c r="H6" s="414">
        <f>G6/C6*100</f>
        <v>-20.4719187569025</v>
      </c>
      <c r="I6" s="346">
        <f>SUM(I7:I247)/2</f>
        <v>17780.379824</v>
      </c>
      <c r="J6" s="307">
        <f>I6-D6</f>
        <v>2072.956303</v>
      </c>
      <c r="K6" s="306">
        <f>J6/D6*100</f>
        <v>13.1973031746967</v>
      </c>
      <c r="M6" s="278">
        <f t="shared" ref="M6:M34" si="0">N6+O6</f>
        <v>0</v>
      </c>
      <c r="N6" s="415"/>
      <c r="O6" s="415"/>
    </row>
    <row r="7" customFormat="1" ht="20" hidden="1" customHeight="1" spans="1:17">
      <c r="A7" s="416">
        <v>20101</v>
      </c>
      <c r="B7" s="417" t="s">
        <v>164</v>
      </c>
      <c r="C7" s="456">
        <f>SUM(C8:C18)</f>
        <v>447.740677</v>
      </c>
      <c r="D7" s="456">
        <f>SUM(D8:D18)</f>
        <v>521.315362</v>
      </c>
      <c r="E7" s="456">
        <f>SUM(E8:E18)</f>
        <v>354</v>
      </c>
      <c r="F7" s="457">
        <f t="shared" ref="F7:F70" si="1">E7/D7*100</f>
        <v>67.9051541166746</v>
      </c>
      <c r="G7" s="458">
        <f t="shared" ref="G7:G70" si="2">E7-C7</f>
        <v>-93.740677</v>
      </c>
      <c r="H7" s="457">
        <f t="shared" ref="H7:H70" si="3">G7/C7*100</f>
        <v>-20.9363771967495</v>
      </c>
      <c r="I7" s="456">
        <f>SUM(I8:I18)</f>
        <v>573.500159</v>
      </c>
      <c r="J7" s="459">
        <f t="shared" ref="J7:J70" si="4">I7-D7</f>
        <v>52.184797</v>
      </c>
      <c r="K7" s="460">
        <f t="shared" ref="K7:K70" si="5">J7/D7*100</f>
        <v>10.0102166181706</v>
      </c>
      <c r="M7">
        <f t="shared" si="0"/>
        <v>0</v>
      </c>
      <c r="N7" s="415"/>
      <c r="O7" s="415"/>
    </row>
    <row r="8" customFormat="1" ht="20" hidden="1" customHeight="1" spans="1:17">
      <c r="A8" s="418">
        <v>2010101</v>
      </c>
      <c r="B8" s="419" t="s">
        <v>165</v>
      </c>
      <c r="C8" s="461">
        <v>364.812239</v>
      </c>
      <c r="D8" s="461">
        <v>366.006762</v>
      </c>
      <c r="E8" s="461">
        <v>312</v>
      </c>
      <c r="F8" s="457">
        <f t="shared" si="1"/>
        <v>85.244326715472</v>
      </c>
      <c r="G8" s="458">
        <f t="shared" si="2"/>
        <v>-52.812239</v>
      </c>
      <c r="H8" s="457">
        <f t="shared" si="3"/>
        <v>-14.4765535127784</v>
      </c>
      <c r="I8" s="462">
        <v>303.650159</v>
      </c>
      <c r="J8" s="459">
        <f t="shared" si="4"/>
        <v>-62.356603</v>
      </c>
      <c r="K8" s="460">
        <f t="shared" si="5"/>
        <v>-17.0370084583301</v>
      </c>
      <c r="M8">
        <f t="shared" si="0"/>
        <v>1169</v>
      </c>
      <c r="N8" s="415">
        <v>1169</v>
      </c>
      <c r="O8" s="415"/>
    </row>
    <row r="9" customFormat="1" ht="20" hidden="1" customHeight="1" spans="1:17">
      <c r="A9" s="418">
        <v>2010102</v>
      </c>
      <c r="B9" s="419" t="s">
        <v>166</v>
      </c>
      <c r="C9" s="461">
        <v>3.395513</v>
      </c>
      <c r="D9" s="461">
        <v>3.5657</v>
      </c>
      <c r="E9" s="461">
        <v>2</v>
      </c>
      <c r="F9" s="457">
        <f t="shared" si="1"/>
        <v>56.0899683091679</v>
      </c>
      <c r="G9" s="458">
        <f t="shared" si="2"/>
        <v>-1.395513</v>
      </c>
      <c r="H9" s="457">
        <f t="shared" si="3"/>
        <v>-41.0987382466213</v>
      </c>
      <c r="I9" s="461">
        <v>2.37</v>
      </c>
      <c r="J9" s="459">
        <f t="shared" si="4"/>
        <v>-1.1957</v>
      </c>
      <c r="K9" s="460">
        <f t="shared" si="5"/>
        <v>-33.533387553636</v>
      </c>
      <c r="M9">
        <f t="shared" si="0"/>
        <v>2</v>
      </c>
      <c r="N9" s="415">
        <v>2</v>
      </c>
      <c r="O9" s="415"/>
    </row>
    <row r="10" customFormat="1" ht="20" hidden="1" customHeight="1" spans="1:17">
      <c r="A10" s="418">
        <v>2010103</v>
      </c>
      <c r="B10" s="421" t="s">
        <v>167</v>
      </c>
      <c r="C10" s="461">
        <v>0</v>
      </c>
      <c r="D10" s="461"/>
      <c r="E10" s="461"/>
      <c r="F10" s="457"/>
      <c r="G10" s="458">
        <f t="shared" si="2"/>
        <v>0</v>
      </c>
      <c r="H10" s="457"/>
      <c r="I10" s="461"/>
      <c r="J10" s="459">
        <f t="shared" si="4"/>
        <v>0</v>
      </c>
      <c r="K10" s="460"/>
      <c r="M10">
        <f t="shared" si="0"/>
        <v>0</v>
      </c>
      <c r="N10" s="415"/>
      <c r="O10" s="415"/>
    </row>
    <row r="11" customFormat="1" ht="20" hidden="1" customHeight="1" spans="1:17">
      <c r="A11" s="418">
        <v>2010104</v>
      </c>
      <c r="B11" s="421" t="s">
        <v>168</v>
      </c>
      <c r="C11" s="461">
        <v>8.39554</v>
      </c>
      <c r="D11" s="461">
        <v>17.0229</v>
      </c>
      <c r="E11" s="461">
        <v>10</v>
      </c>
      <c r="F11" s="457">
        <f t="shared" si="1"/>
        <v>58.744397253112</v>
      </c>
      <c r="G11" s="458">
        <f t="shared" si="2"/>
        <v>1.60446</v>
      </c>
      <c r="H11" s="457">
        <f t="shared" si="3"/>
        <v>19.1108612429933</v>
      </c>
      <c r="I11" s="461">
        <v>77.2</v>
      </c>
      <c r="J11" s="459">
        <f t="shared" si="4"/>
        <v>60.1771</v>
      </c>
      <c r="K11" s="460">
        <f t="shared" si="5"/>
        <v>353.506746794025</v>
      </c>
      <c r="M11">
        <f t="shared" si="0"/>
        <v>10</v>
      </c>
      <c r="N11" s="415">
        <v>10</v>
      </c>
      <c r="O11" s="415"/>
    </row>
    <row r="12" customFormat="1" ht="20" hidden="1" customHeight="1" spans="1:17">
      <c r="A12" s="418">
        <v>2010105</v>
      </c>
      <c r="B12" s="421" t="s">
        <v>169</v>
      </c>
      <c r="C12" s="461">
        <v>0</v>
      </c>
      <c r="D12" s="461"/>
      <c r="E12" s="461"/>
      <c r="F12" s="457"/>
      <c r="G12" s="458">
        <f t="shared" si="2"/>
        <v>0</v>
      </c>
      <c r="H12" s="457"/>
      <c r="I12" s="461"/>
      <c r="J12" s="459">
        <f t="shared" si="4"/>
        <v>0</v>
      </c>
      <c r="K12" s="460"/>
      <c r="M12">
        <f t="shared" si="0"/>
        <v>0</v>
      </c>
      <c r="N12" s="415"/>
      <c r="O12" s="415"/>
    </row>
    <row r="13" customFormat="1" ht="20" hidden="1" customHeight="1" spans="1:17">
      <c r="A13" s="418">
        <v>2010106</v>
      </c>
      <c r="B13" s="422" t="s">
        <v>170</v>
      </c>
      <c r="C13" s="461">
        <v>0</v>
      </c>
      <c r="D13" s="461">
        <v>1.52</v>
      </c>
      <c r="E13" s="461"/>
      <c r="F13" s="457">
        <f t="shared" si="1"/>
        <v>0</v>
      </c>
      <c r="G13" s="458">
        <f t="shared" si="2"/>
        <v>0</v>
      </c>
      <c r="H13" s="457"/>
      <c r="I13" s="462">
        <v>5</v>
      </c>
      <c r="J13" s="459">
        <f t="shared" si="4"/>
        <v>3.48</v>
      </c>
      <c r="K13" s="460">
        <f t="shared" si="5"/>
        <v>228.947368421053</v>
      </c>
      <c r="M13">
        <f t="shared" si="0"/>
        <v>1</v>
      </c>
      <c r="N13" s="415">
        <v>1</v>
      </c>
      <c r="O13" s="415"/>
    </row>
    <row r="14" customFormat="1" ht="20" hidden="1" customHeight="1" spans="1:17">
      <c r="A14" s="418">
        <v>2010107</v>
      </c>
      <c r="B14" s="422" t="s">
        <v>171</v>
      </c>
      <c r="C14" s="461">
        <v>0</v>
      </c>
      <c r="D14" s="461"/>
      <c r="E14" s="461"/>
      <c r="F14" s="457"/>
      <c r="G14" s="458">
        <f t="shared" si="2"/>
        <v>0</v>
      </c>
      <c r="H14" s="457"/>
      <c r="I14" s="462">
        <v>24.48</v>
      </c>
      <c r="J14" s="459">
        <f t="shared" si="4"/>
        <v>24.48</v>
      </c>
      <c r="K14" s="460"/>
      <c r="M14">
        <f t="shared" si="0"/>
        <v>0</v>
      </c>
      <c r="N14" s="415"/>
      <c r="O14" s="415"/>
    </row>
    <row r="15" customFormat="1" ht="20" hidden="1" customHeight="1" spans="1:17">
      <c r="A15" s="418">
        <v>2010108</v>
      </c>
      <c r="B15" s="422" t="s">
        <v>172</v>
      </c>
      <c r="C15" s="461">
        <v>6.4871</v>
      </c>
      <c r="D15" s="461">
        <v>120.7</v>
      </c>
      <c r="E15" s="461">
        <v>11</v>
      </c>
      <c r="F15" s="457">
        <f t="shared" si="1"/>
        <v>9.11350455675228</v>
      </c>
      <c r="G15" s="458">
        <f t="shared" si="2"/>
        <v>4.5129</v>
      </c>
      <c r="H15" s="457">
        <f t="shared" si="3"/>
        <v>69.5672950933391</v>
      </c>
      <c r="I15" s="462">
        <v>0.8</v>
      </c>
      <c r="J15" s="459">
        <f t="shared" si="4"/>
        <v>-119.9</v>
      </c>
      <c r="K15" s="460">
        <f t="shared" si="5"/>
        <v>-99.3371996685998</v>
      </c>
      <c r="M15">
        <f t="shared" si="0"/>
        <v>21</v>
      </c>
      <c r="N15" s="415">
        <v>21</v>
      </c>
      <c r="O15" s="415"/>
    </row>
    <row r="16" customFormat="1" ht="20" hidden="1" customHeight="1" spans="1:17">
      <c r="A16" s="418">
        <v>2010109</v>
      </c>
      <c r="B16" s="422" t="s">
        <v>173</v>
      </c>
      <c r="C16" s="461">
        <v>0</v>
      </c>
      <c r="D16" s="461"/>
      <c r="E16" s="461"/>
      <c r="F16" s="457"/>
      <c r="G16" s="458">
        <f t="shared" si="2"/>
        <v>0</v>
      </c>
      <c r="H16" s="457"/>
      <c r="I16" s="461"/>
      <c r="J16" s="459">
        <f t="shared" si="4"/>
        <v>0</v>
      </c>
      <c r="K16" s="460"/>
      <c r="M16">
        <f t="shared" si="0"/>
        <v>0</v>
      </c>
      <c r="N16" s="415"/>
      <c r="O16" s="415"/>
    </row>
    <row r="17" customFormat="1" ht="20" hidden="1" customHeight="1" spans="1:15">
      <c r="A17" s="418">
        <v>2010150</v>
      </c>
      <c r="B17" s="422" t="s">
        <v>174</v>
      </c>
      <c r="C17" s="461">
        <v>0</v>
      </c>
      <c r="D17" s="461"/>
      <c r="E17" s="461"/>
      <c r="F17" s="457"/>
      <c r="G17" s="458">
        <f t="shared" si="2"/>
        <v>0</v>
      </c>
      <c r="H17" s="457"/>
      <c r="I17" s="461"/>
      <c r="J17" s="459">
        <f t="shared" si="4"/>
        <v>0</v>
      </c>
      <c r="K17" s="460"/>
      <c r="M17">
        <f t="shared" si="0"/>
        <v>0</v>
      </c>
      <c r="N17" s="415"/>
      <c r="O17" s="415"/>
    </row>
    <row r="18" customFormat="1" ht="20" hidden="1" customHeight="1" spans="1:15">
      <c r="A18" s="418">
        <v>2010199</v>
      </c>
      <c r="B18" s="422" t="s">
        <v>175</v>
      </c>
      <c r="C18" s="461">
        <v>64.650285</v>
      </c>
      <c r="D18" s="461">
        <v>12.5</v>
      </c>
      <c r="E18" s="461">
        <v>19</v>
      </c>
      <c r="F18" s="457">
        <f t="shared" si="1"/>
        <v>152</v>
      </c>
      <c r="G18" s="458">
        <f t="shared" si="2"/>
        <v>-45.650285</v>
      </c>
      <c r="H18" s="457">
        <f t="shared" si="3"/>
        <v>-70.6111117684941</v>
      </c>
      <c r="I18" s="461">
        <v>160</v>
      </c>
      <c r="J18" s="459">
        <f t="shared" si="4"/>
        <v>147.5</v>
      </c>
      <c r="K18" s="460">
        <f t="shared" si="5"/>
        <v>1180</v>
      </c>
      <c r="M18">
        <f t="shared" si="0"/>
        <v>10</v>
      </c>
      <c r="N18" s="415">
        <v>10</v>
      </c>
      <c r="O18" s="415"/>
    </row>
    <row r="19" customFormat="1" ht="20" hidden="1" customHeight="1" spans="1:15">
      <c r="A19" s="416">
        <v>20102</v>
      </c>
      <c r="B19" s="417" t="s">
        <v>176</v>
      </c>
      <c r="C19" s="456">
        <f>SUM(C20:C27)</f>
        <v>333.156301</v>
      </c>
      <c r="D19" s="456">
        <f>SUM(D20:D27)</f>
        <v>391.979173</v>
      </c>
      <c r="E19" s="456">
        <f>SUM(E20:E27)</f>
        <v>333</v>
      </c>
      <c r="F19" s="457">
        <f t="shared" si="1"/>
        <v>84.9534931795981</v>
      </c>
      <c r="G19" s="458">
        <f t="shared" si="2"/>
        <v>-0.156300999999985</v>
      </c>
      <c r="H19" s="457">
        <f t="shared" si="3"/>
        <v>-0.0469152165307493</v>
      </c>
      <c r="I19" s="456">
        <f>SUM(I20:I27)</f>
        <v>328.95606</v>
      </c>
      <c r="J19" s="459">
        <f t="shared" si="4"/>
        <v>-63.023113</v>
      </c>
      <c r="K19" s="460">
        <f t="shared" si="5"/>
        <v>-16.0781789801878</v>
      </c>
      <c r="M19">
        <f t="shared" si="0"/>
        <v>0</v>
      </c>
      <c r="N19" s="415"/>
      <c r="O19" s="415"/>
    </row>
    <row r="20" customFormat="1" ht="20" hidden="1" customHeight="1" spans="1:15">
      <c r="A20" s="418">
        <v>2010201</v>
      </c>
      <c r="B20" s="419" t="s">
        <v>165</v>
      </c>
      <c r="C20" s="461">
        <v>275.727281</v>
      </c>
      <c r="D20" s="461">
        <v>300.575173</v>
      </c>
      <c r="E20" s="463">
        <v>275</v>
      </c>
      <c r="F20" s="457">
        <f t="shared" si="1"/>
        <v>91.4912556666814</v>
      </c>
      <c r="G20" s="458">
        <f t="shared" si="2"/>
        <v>-0.727281000000005</v>
      </c>
      <c r="H20" s="457">
        <f t="shared" si="3"/>
        <v>-0.263768241344245</v>
      </c>
      <c r="I20" s="462">
        <v>255.61606</v>
      </c>
      <c r="J20" s="459">
        <f t="shared" si="4"/>
        <v>-44.959113</v>
      </c>
      <c r="K20" s="460">
        <f t="shared" si="5"/>
        <v>-14.9576934619281</v>
      </c>
      <c r="M20">
        <f t="shared" si="0"/>
        <v>272</v>
      </c>
      <c r="N20" s="415">
        <v>272</v>
      </c>
      <c r="O20" s="415"/>
    </row>
    <row r="21" customFormat="1" ht="20" hidden="1" customHeight="1" spans="1:15">
      <c r="A21" s="418">
        <v>2010202</v>
      </c>
      <c r="B21" s="419" t="s">
        <v>166</v>
      </c>
      <c r="C21" s="461">
        <v>17.42902</v>
      </c>
      <c r="D21" s="461">
        <v>14.904</v>
      </c>
      <c r="E21" s="463">
        <v>16</v>
      </c>
      <c r="F21" s="457">
        <f t="shared" si="1"/>
        <v>107.353730542136</v>
      </c>
      <c r="G21" s="458">
        <f t="shared" si="2"/>
        <v>-1.42902</v>
      </c>
      <c r="H21" s="457">
        <f t="shared" si="3"/>
        <v>-8.19908405636118</v>
      </c>
      <c r="I21" s="461">
        <v>15.34</v>
      </c>
      <c r="J21" s="459">
        <f t="shared" si="4"/>
        <v>0.436</v>
      </c>
      <c r="K21" s="460">
        <f t="shared" si="5"/>
        <v>2.92538915727321</v>
      </c>
      <c r="M21">
        <f t="shared" si="0"/>
        <v>10</v>
      </c>
      <c r="N21" s="415">
        <v>10</v>
      </c>
      <c r="O21" s="415"/>
    </row>
    <row r="22" customFormat="1" ht="20" hidden="1" customHeight="1" spans="1:15">
      <c r="A22" s="418">
        <v>2010203</v>
      </c>
      <c r="B22" s="421" t="s">
        <v>167</v>
      </c>
      <c r="C22" s="461">
        <v>0</v>
      </c>
      <c r="D22" s="461"/>
      <c r="E22" s="463"/>
      <c r="F22" s="457"/>
      <c r="G22" s="458">
        <f t="shared" si="2"/>
        <v>0</v>
      </c>
      <c r="H22" s="457"/>
      <c r="I22" s="461"/>
      <c r="J22" s="459">
        <f t="shared" si="4"/>
        <v>0</v>
      </c>
      <c r="K22" s="460"/>
      <c r="M22">
        <f t="shared" si="0"/>
        <v>0</v>
      </c>
      <c r="N22" s="415"/>
      <c r="O22" s="415"/>
    </row>
    <row r="23" customFormat="1" ht="20" hidden="1" customHeight="1" spans="1:15">
      <c r="A23" s="418">
        <v>2010204</v>
      </c>
      <c r="B23" s="421" t="s">
        <v>177</v>
      </c>
      <c r="C23" s="461">
        <v>4</v>
      </c>
      <c r="D23" s="461">
        <v>4</v>
      </c>
      <c r="E23" s="463">
        <v>1</v>
      </c>
      <c r="F23" s="457">
        <f t="shared" si="1"/>
        <v>25</v>
      </c>
      <c r="G23" s="458">
        <f t="shared" si="2"/>
        <v>-3</v>
      </c>
      <c r="H23" s="457">
        <f t="shared" si="3"/>
        <v>-75</v>
      </c>
      <c r="I23" s="462">
        <v>43</v>
      </c>
      <c r="J23" s="459">
        <f t="shared" si="4"/>
        <v>39</v>
      </c>
      <c r="K23" s="460">
        <f t="shared" si="5"/>
        <v>975</v>
      </c>
      <c r="M23">
        <f t="shared" si="0"/>
        <v>4</v>
      </c>
      <c r="N23" s="415">
        <v>4</v>
      </c>
      <c r="O23" s="415"/>
    </row>
    <row r="24" customFormat="1" ht="20" hidden="1" customHeight="1" spans="1:15">
      <c r="A24" s="418">
        <v>2010205</v>
      </c>
      <c r="B24" s="421" t="s">
        <v>178</v>
      </c>
      <c r="C24" s="461">
        <v>0.5</v>
      </c>
      <c r="D24" s="461">
        <v>0.2</v>
      </c>
      <c r="E24" s="463"/>
      <c r="F24" s="457">
        <f t="shared" si="1"/>
        <v>0</v>
      </c>
      <c r="G24" s="458">
        <f t="shared" si="2"/>
        <v>-0.5</v>
      </c>
      <c r="H24" s="457">
        <f t="shared" si="3"/>
        <v>-100</v>
      </c>
      <c r="I24" s="461"/>
      <c r="J24" s="459">
        <f t="shared" si="4"/>
        <v>-0.2</v>
      </c>
      <c r="K24" s="460">
        <f t="shared" si="5"/>
        <v>-100</v>
      </c>
      <c r="M24">
        <f t="shared" si="0"/>
        <v>1</v>
      </c>
      <c r="N24" s="415">
        <v>1</v>
      </c>
      <c r="O24" s="415"/>
    </row>
    <row r="25" customFormat="1" ht="20" hidden="1" customHeight="1" spans="1:15">
      <c r="A25" s="418">
        <v>2010206</v>
      </c>
      <c r="B25" s="421" t="s">
        <v>179</v>
      </c>
      <c r="C25" s="461">
        <v>15.5</v>
      </c>
      <c r="D25" s="461">
        <v>64.3</v>
      </c>
      <c r="E25" s="463">
        <v>40</v>
      </c>
      <c r="F25" s="457">
        <f t="shared" si="1"/>
        <v>62.2083981337481</v>
      </c>
      <c r="G25" s="458">
        <f t="shared" si="2"/>
        <v>24.5</v>
      </c>
      <c r="H25" s="457">
        <f t="shared" si="3"/>
        <v>158.064516129032</v>
      </c>
      <c r="I25" s="462">
        <v>15</v>
      </c>
      <c r="J25" s="459">
        <f t="shared" si="4"/>
        <v>-49.3</v>
      </c>
      <c r="K25" s="460">
        <f t="shared" si="5"/>
        <v>-76.6718506998445</v>
      </c>
      <c r="M25">
        <f t="shared" si="0"/>
        <v>15</v>
      </c>
      <c r="N25" s="415">
        <v>15</v>
      </c>
      <c r="O25" s="415"/>
    </row>
    <row r="26" customFormat="1" ht="20" hidden="1" customHeight="1" spans="1:15">
      <c r="A26" s="418">
        <v>2010250</v>
      </c>
      <c r="B26" s="421" t="s">
        <v>174</v>
      </c>
      <c r="C26" s="461">
        <v>0</v>
      </c>
      <c r="D26" s="461"/>
      <c r="E26" s="463"/>
      <c r="F26" s="457"/>
      <c r="G26" s="458">
        <f t="shared" si="2"/>
        <v>0</v>
      </c>
      <c r="H26" s="457"/>
      <c r="I26" s="461"/>
      <c r="J26" s="459">
        <f t="shared" si="4"/>
        <v>0</v>
      </c>
      <c r="K26" s="460"/>
      <c r="M26">
        <f t="shared" si="0"/>
        <v>0</v>
      </c>
      <c r="N26" s="415"/>
      <c r="O26" s="415"/>
    </row>
    <row r="27" customFormat="1" ht="20" hidden="1" customHeight="1" spans="1:15">
      <c r="A27" s="418">
        <v>2010299</v>
      </c>
      <c r="B27" s="421" t="s">
        <v>180</v>
      </c>
      <c r="C27" s="464">
        <v>20</v>
      </c>
      <c r="D27" s="461">
        <v>8</v>
      </c>
      <c r="E27" s="463">
        <v>1</v>
      </c>
      <c r="F27" s="457">
        <f t="shared" si="1"/>
        <v>12.5</v>
      </c>
      <c r="G27" s="458">
        <f t="shared" si="2"/>
        <v>-19</v>
      </c>
      <c r="H27" s="457">
        <f t="shared" si="3"/>
        <v>-95</v>
      </c>
      <c r="I27" s="461"/>
      <c r="J27" s="459">
        <f t="shared" si="4"/>
        <v>-8</v>
      </c>
      <c r="K27" s="460">
        <f t="shared" si="5"/>
        <v>-100</v>
      </c>
      <c r="M27">
        <f t="shared" si="0"/>
        <v>0</v>
      </c>
      <c r="N27" s="415"/>
      <c r="O27" s="415"/>
    </row>
    <row r="28" customFormat="1" ht="20" hidden="1" customHeight="1" spans="1:15">
      <c r="A28" s="416">
        <v>20103</v>
      </c>
      <c r="B28" s="417" t="s">
        <v>181</v>
      </c>
      <c r="C28" s="456">
        <f>SUM(C29:C38)</f>
        <v>9215.017558</v>
      </c>
      <c r="D28" s="456">
        <f>SUM(D29:D38)</f>
        <v>6420.188346</v>
      </c>
      <c r="E28" s="456">
        <f>SUM(E29:E38)</f>
        <v>8791</v>
      </c>
      <c r="F28" s="457">
        <f t="shared" si="1"/>
        <v>136.927447081472</v>
      </c>
      <c r="G28" s="458">
        <f t="shared" si="2"/>
        <v>-424.017558</v>
      </c>
      <c r="H28" s="457">
        <f t="shared" si="3"/>
        <v>-4.60137547575142</v>
      </c>
      <c r="I28" s="456">
        <f>SUM(I29:I38)</f>
        <v>6863.08</v>
      </c>
      <c r="J28" s="459">
        <f t="shared" si="4"/>
        <v>442.891654</v>
      </c>
      <c r="K28" s="460">
        <f t="shared" si="5"/>
        <v>6.89842151244577</v>
      </c>
      <c r="M28">
        <f t="shared" si="0"/>
        <v>0</v>
      </c>
      <c r="N28" s="415"/>
      <c r="O28" s="415"/>
    </row>
    <row r="29" customFormat="1" ht="20" hidden="1" customHeight="1" spans="1:15">
      <c r="A29" s="418">
        <v>2010301</v>
      </c>
      <c r="B29" s="419" t="s">
        <v>165</v>
      </c>
      <c r="C29" s="464">
        <v>7900.514778</v>
      </c>
      <c r="D29" s="461">
        <v>5874.993074</v>
      </c>
      <c r="E29" s="463">
        <v>6485</v>
      </c>
      <c r="F29" s="457">
        <f t="shared" si="1"/>
        <v>110.383108853347</v>
      </c>
      <c r="G29" s="458">
        <f t="shared" si="2"/>
        <v>-1415.514778</v>
      </c>
      <c r="H29" s="457">
        <f t="shared" si="3"/>
        <v>-17.9167410956775</v>
      </c>
      <c r="I29" s="461">
        <v>5830.26</v>
      </c>
      <c r="J29" s="459">
        <f t="shared" si="4"/>
        <v>-44.7330739999998</v>
      </c>
      <c r="K29" s="460">
        <f t="shared" si="5"/>
        <v>-0.761414923159104</v>
      </c>
      <c r="M29">
        <f t="shared" si="0"/>
        <v>6244</v>
      </c>
      <c r="N29" s="415">
        <v>6244</v>
      </c>
      <c r="O29" s="415"/>
    </row>
    <row r="30" customFormat="1" ht="20" hidden="1" customHeight="1" spans="1:15">
      <c r="A30" s="418">
        <v>2010302</v>
      </c>
      <c r="B30" s="419" t="s">
        <v>166</v>
      </c>
      <c r="C30" s="464">
        <v>1285.632141</v>
      </c>
      <c r="D30" s="461">
        <v>545.195272</v>
      </c>
      <c r="E30" s="463">
        <v>2306</v>
      </c>
      <c r="F30" s="457">
        <f t="shared" si="1"/>
        <v>422.967717885859</v>
      </c>
      <c r="G30" s="458">
        <f t="shared" si="2"/>
        <v>1020.367859</v>
      </c>
      <c r="H30" s="457">
        <f t="shared" si="3"/>
        <v>79.3670153739568</v>
      </c>
      <c r="I30" s="461">
        <v>1032.82</v>
      </c>
      <c r="J30" s="459">
        <f t="shared" si="4"/>
        <v>487.624728</v>
      </c>
      <c r="K30" s="460">
        <f t="shared" si="5"/>
        <v>89.4403809136481</v>
      </c>
      <c r="M30">
        <f t="shared" si="0"/>
        <v>429</v>
      </c>
      <c r="N30" s="415">
        <v>429</v>
      </c>
      <c r="O30" s="415"/>
    </row>
    <row r="31" customFormat="1" ht="20" hidden="1" customHeight="1" spans="1:15">
      <c r="A31" s="418">
        <v>2010303</v>
      </c>
      <c r="B31" s="421" t="s">
        <v>167</v>
      </c>
      <c r="C31" s="464">
        <v>0</v>
      </c>
      <c r="D31" s="461"/>
      <c r="E31" s="464"/>
      <c r="F31" s="457"/>
      <c r="G31" s="458">
        <f t="shared" si="2"/>
        <v>0</v>
      </c>
      <c r="H31" s="457"/>
      <c r="I31" s="461"/>
      <c r="J31" s="459">
        <f t="shared" si="4"/>
        <v>0</v>
      </c>
      <c r="K31" s="460"/>
      <c r="M31">
        <f t="shared" si="0"/>
        <v>0</v>
      </c>
      <c r="N31" s="415"/>
      <c r="O31" s="415"/>
    </row>
    <row r="32" customFormat="1" ht="20" hidden="1" customHeight="1" spans="1:15">
      <c r="A32" s="418">
        <v>2010304</v>
      </c>
      <c r="B32" s="421" t="s">
        <v>182</v>
      </c>
      <c r="C32" s="464">
        <v>0</v>
      </c>
      <c r="D32" s="461"/>
      <c r="E32" s="464"/>
      <c r="F32" s="457"/>
      <c r="G32" s="458">
        <f t="shared" si="2"/>
        <v>0</v>
      </c>
      <c r="H32" s="457"/>
      <c r="I32" s="461"/>
      <c r="J32" s="459">
        <f t="shared" si="4"/>
        <v>0</v>
      </c>
      <c r="K32" s="460"/>
      <c r="M32">
        <f t="shared" si="0"/>
        <v>0</v>
      </c>
      <c r="N32" s="415"/>
      <c r="O32" s="415"/>
    </row>
    <row r="33" customFormat="1" ht="20" hidden="1" customHeight="1" spans="1:17">
      <c r="A33" s="418">
        <v>2010305</v>
      </c>
      <c r="B33" s="421" t="s">
        <v>183</v>
      </c>
      <c r="C33" s="464">
        <v>0</v>
      </c>
      <c r="D33" s="461"/>
      <c r="E33" s="464"/>
      <c r="F33" s="457"/>
      <c r="G33" s="458">
        <f t="shared" si="2"/>
        <v>0</v>
      </c>
      <c r="H33" s="457"/>
      <c r="I33" s="461"/>
      <c r="J33" s="459">
        <f t="shared" si="4"/>
        <v>0</v>
      </c>
      <c r="K33" s="460"/>
      <c r="M33">
        <f t="shared" si="0"/>
        <v>0</v>
      </c>
      <c r="N33" s="415"/>
      <c r="O33" s="415"/>
    </row>
    <row r="34" customFormat="1" ht="20" hidden="1" customHeight="1" spans="1:17">
      <c r="A34" s="418">
        <v>2010306</v>
      </c>
      <c r="B34" s="419" t="s">
        <v>184</v>
      </c>
      <c r="C34" s="464">
        <v>28.870639</v>
      </c>
      <c r="D34" s="461"/>
      <c r="E34" s="464"/>
      <c r="F34" s="457"/>
      <c r="G34" s="458">
        <f t="shared" si="2"/>
        <v>-28.870639</v>
      </c>
      <c r="H34" s="457">
        <f t="shared" si="3"/>
        <v>-100</v>
      </c>
      <c r="I34" s="461"/>
      <c r="J34" s="459">
        <f t="shared" si="4"/>
        <v>0</v>
      </c>
      <c r="K34" s="460"/>
      <c r="M34">
        <f t="shared" si="0"/>
        <v>13</v>
      </c>
      <c r="N34" s="415">
        <v>13</v>
      </c>
      <c r="O34" s="415"/>
    </row>
    <row r="35" customFormat="1" ht="20" hidden="1" customHeight="1" spans="1:17">
      <c r="A35" s="418" t="s">
        <v>185</v>
      </c>
      <c r="B35" s="419" t="s">
        <v>186</v>
      </c>
      <c r="C35" s="464">
        <v>0</v>
      </c>
      <c r="D35" s="461"/>
      <c r="E35" s="464"/>
      <c r="F35" s="457"/>
      <c r="G35" s="458">
        <f t="shared" si="2"/>
        <v>0</v>
      </c>
      <c r="H35" s="457"/>
      <c r="I35" s="461"/>
      <c r="J35" s="459">
        <f t="shared" si="4"/>
        <v>0</v>
      </c>
      <c r="K35" s="460"/>
      <c r="N35" s="415"/>
      <c r="O35" s="415"/>
    </row>
    <row r="36" customFormat="1" ht="20" hidden="1" customHeight="1" spans="1:17">
      <c r="A36" s="418">
        <v>2010309</v>
      </c>
      <c r="B36" s="421" t="s">
        <v>187</v>
      </c>
      <c r="C36" s="464">
        <v>0</v>
      </c>
      <c r="D36" s="461"/>
      <c r="E36" s="464"/>
      <c r="F36" s="457"/>
      <c r="G36" s="458">
        <f t="shared" si="2"/>
        <v>0</v>
      </c>
      <c r="H36" s="457"/>
      <c r="I36" s="461"/>
      <c r="J36" s="459">
        <f t="shared" si="4"/>
        <v>0</v>
      </c>
      <c r="K36" s="460"/>
      <c r="M36">
        <f t="shared" ref="M36:M99" si="6">N36+O36</f>
        <v>0</v>
      </c>
      <c r="N36" s="415"/>
      <c r="O36" s="415"/>
    </row>
    <row r="37" customFormat="1" ht="20" hidden="1" customHeight="1" spans="1:17">
      <c r="A37" s="418">
        <v>2010350</v>
      </c>
      <c r="B37" s="421" t="s">
        <v>174</v>
      </c>
      <c r="C37" s="464">
        <v>0</v>
      </c>
      <c r="D37" s="461"/>
      <c r="E37" s="464"/>
      <c r="F37" s="457"/>
      <c r="G37" s="458">
        <f t="shared" si="2"/>
        <v>0</v>
      </c>
      <c r="H37" s="457"/>
      <c r="I37" s="461"/>
      <c r="J37" s="459">
        <f t="shared" si="4"/>
        <v>0</v>
      </c>
      <c r="K37" s="460"/>
      <c r="M37">
        <f t="shared" si="6"/>
        <v>0</v>
      </c>
      <c r="N37" s="415"/>
      <c r="O37" s="415"/>
    </row>
    <row r="38" customFormat="1" ht="20" hidden="1" customHeight="1" spans="1:17">
      <c r="A38" s="418">
        <v>2010399</v>
      </c>
      <c r="B38" s="424" t="s">
        <v>188</v>
      </c>
      <c r="C38" s="464">
        <v>0</v>
      </c>
      <c r="D38" s="461"/>
      <c r="E38" s="464"/>
      <c r="F38" s="457"/>
      <c r="G38" s="458">
        <f t="shared" si="2"/>
        <v>0</v>
      </c>
      <c r="H38" s="457"/>
      <c r="I38" s="461"/>
      <c r="J38" s="459">
        <f t="shared" si="4"/>
        <v>0</v>
      </c>
      <c r="K38" s="460"/>
      <c r="M38">
        <f t="shared" si="6"/>
        <v>0</v>
      </c>
      <c r="N38" s="415"/>
      <c r="O38" s="415"/>
    </row>
    <row r="39" customFormat="1" ht="20" hidden="1" customHeight="1" spans="1:17">
      <c r="A39" s="416">
        <v>20104</v>
      </c>
      <c r="B39" s="417" t="s">
        <v>189</v>
      </c>
      <c r="C39" s="465">
        <f>SUM(C40:C49)</f>
        <v>4324.913039</v>
      </c>
      <c r="D39" s="465">
        <f>SUM(D40:D49)</f>
        <v>534.41905</v>
      </c>
      <c r="E39" s="465">
        <f>SUM(E40:E49)</f>
        <v>681</v>
      </c>
      <c r="F39" s="457">
        <f t="shared" si="1"/>
        <v>127.428092243344</v>
      </c>
      <c r="G39" s="458">
        <f t="shared" si="2"/>
        <v>-3643.913039</v>
      </c>
      <c r="H39" s="457">
        <f t="shared" si="3"/>
        <v>-84.2540186621311</v>
      </c>
      <c r="I39" s="465">
        <f>SUM(I40:I49)</f>
        <v>944.778404</v>
      </c>
      <c r="J39" s="459">
        <f t="shared" si="4"/>
        <v>410.359354</v>
      </c>
      <c r="K39" s="460">
        <f t="shared" si="5"/>
        <v>76.7860640446856</v>
      </c>
      <c r="M39">
        <f t="shared" si="6"/>
        <v>0</v>
      </c>
      <c r="N39" s="415"/>
      <c r="O39" s="415"/>
    </row>
    <row r="40" customFormat="1" ht="20" hidden="1" customHeight="1" spans="1:17">
      <c r="A40" s="418">
        <v>2010401</v>
      </c>
      <c r="B40" s="419" t="s">
        <v>165</v>
      </c>
      <c r="C40" s="464">
        <v>798.335742</v>
      </c>
      <c r="D40" s="466">
        <v>521</v>
      </c>
      <c r="E40" s="463">
        <v>661</v>
      </c>
      <c r="F40" s="457">
        <f t="shared" si="1"/>
        <v>126.871401151631</v>
      </c>
      <c r="G40" s="458">
        <f t="shared" si="2"/>
        <v>-137.335742</v>
      </c>
      <c r="H40" s="457">
        <f t="shared" si="3"/>
        <v>-17.2027550283475</v>
      </c>
      <c r="I40" s="462">
        <v>511.390954</v>
      </c>
      <c r="J40" s="459">
        <f t="shared" si="4"/>
        <v>-9.60904599999998</v>
      </c>
      <c r="K40" s="460">
        <f t="shared" si="5"/>
        <v>-1.84434664107485</v>
      </c>
      <c r="M40">
        <f t="shared" si="6"/>
        <v>465</v>
      </c>
      <c r="N40" s="415">
        <v>465</v>
      </c>
      <c r="O40" s="415"/>
    </row>
    <row r="41" customFormat="1" ht="20" hidden="1" customHeight="1" spans="1:17">
      <c r="A41" s="418">
        <v>2010402</v>
      </c>
      <c r="B41" s="419" t="s">
        <v>166</v>
      </c>
      <c r="C41" s="464">
        <v>212.792508</v>
      </c>
      <c r="D41" s="466">
        <v>6.57585</v>
      </c>
      <c r="E41" s="463">
        <v>8</v>
      </c>
      <c r="F41" s="457">
        <f t="shared" si="1"/>
        <v>121.657276245656</v>
      </c>
      <c r="G41" s="458">
        <f t="shared" si="2"/>
        <v>-204.792508</v>
      </c>
      <c r="H41" s="457">
        <f t="shared" si="3"/>
        <v>-96.2404691428328</v>
      </c>
      <c r="I41" s="462">
        <v>22.38745</v>
      </c>
      <c r="J41" s="459">
        <f t="shared" si="4"/>
        <v>15.8116</v>
      </c>
      <c r="K41" s="460">
        <f t="shared" si="5"/>
        <v>240.449523635728</v>
      </c>
      <c r="M41">
        <f t="shared" si="6"/>
        <v>7</v>
      </c>
      <c r="N41" s="415">
        <v>7</v>
      </c>
      <c r="O41" s="415"/>
    </row>
    <row r="42" customFormat="1" ht="20" hidden="1" customHeight="1" spans="1:17">
      <c r="A42" s="418">
        <v>2010403</v>
      </c>
      <c r="B42" s="421" t="s">
        <v>167</v>
      </c>
      <c r="C42" s="464">
        <v>0</v>
      </c>
      <c r="D42" s="461"/>
      <c r="E42" s="463"/>
      <c r="F42" s="457"/>
      <c r="G42" s="458">
        <f t="shared" si="2"/>
        <v>0</v>
      </c>
      <c r="H42" s="457"/>
      <c r="I42" s="461"/>
      <c r="J42" s="459">
        <f t="shared" si="4"/>
        <v>0</v>
      </c>
      <c r="K42" s="460"/>
      <c r="M42">
        <f t="shared" si="6"/>
        <v>0</v>
      </c>
      <c r="N42" s="415"/>
      <c r="O42" s="415"/>
    </row>
    <row r="43" customFormat="1" ht="20" hidden="1" customHeight="1" spans="1:17">
      <c r="A43" s="418">
        <v>2010404</v>
      </c>
      <c r="B43" s="421" t="s">
        <v>190</v>
      </c>
      <c r="C43" s="464">
        <v>0</v>
      </c>
      <c r="D43" s="461"/>
      <c r="E43" s="463"/>
      <c r="F43" s="457"/>
      <c r="G43" s="458">
        <f t="shared" si="2"/>
        <v>0</v>
      </c>
      <c r="H43" s="457"/>
      <c r="I43" s="461"/>
      <c r="J43" s="459">
        <f t="shared" si="4"/>
        <v>0</v>
      </c>
      <c r="K43" s="460"/>
      <c r="M43">
        <f t="shared" si="6"/>
        <v>0</v>
      </c>
      <c r="N43" s="415"/>
      <c r="O43" s="415"/>
    </row>
    <row r="44" customFormat="1" ht="20" hidden="1" customHeight="1" spans="1:17">
      <c r="A44" s="418">
        <v>2010405</v>
      </c>
      <c r="B44" s="421" t="s">
        <v>191</v>
      </c>
      <c r="C44" s="464">
        <v>0</v>
      </c>
      <c r="D44" s="461"/>
      <c r="E44" s="463"/>
      <c r="F44" s="457"/>
      <c r="G44" s="458">
        <f t="shared" si="2"/>
        <v>0</v>
      </c>
      <c r="H44" s="457"/>
      <c r="I44" s="461"/>
      <c r="J44" s="459">
        <f t="shared" si="4"/>
        <v>0</v>
      </c>
      <c r="K44" s="460"/>
      <c r="M44">
        <f t="shared" si="6"/>
        <v>0</v>
      </c>
      <c r="N44" s="415"/>
      <c r="O44" s="415"/>
    </row>
    <row r="45" customFormat="1" ht="20" hidden="1" customHeight="1" spans="1:17">
      <c r="A45" s="418">
        <v>2010406</v>
      </c>
      <c r="B45" s="419" t="s">
        <v>192</v>
      </c>
      <c r="C45" s="464">
        <v>0</v>
      </c>
      <c r="D45" s="461"/>
      <c r="E45" s="463"/>
      <c r="F45" s="457"/>
      <c r="G45" s="458">
        <f t="shared" si="2"/>
        <v>0</v>
      </c>
      <c r="H45" s="457"/>
      <c r="I45" s="461"/>
      <c r="J45" s="459">
        <f t="shared" si="4"/>
        <v>0</v>
      </c>
      <c r="K45" s="460"/>
      <c r="M45">
        <f t="shared" si="6"/>
        <v>0</v>
      </c>
      <c r="N45" s="415"/>
      <c r="O45" s="415"/>
    </row>
    <row r="46" customFormat="1" ht="20" hidden="1" customHeight="1" spans="1:17">
      <c r="A46" s="418">
        <v>2010407</v>
      </c>
      <c r="B46" s="419" t="s">
        <v>193</v>
      </c>
      <c r="C46" s="464">
        <v>0</v>
      </c>
      <c r="D46" s="461"/>
      <c r="E46" s="463"/>
      <c r="F46" s="457"/>
      <c r="G46" s="458">
        <f t="shared" si="2"/>
        <v>0</v>
      </c>
      <c r="H46" s="457"/>
      <c r="I46" s="461"/>
      <c r="J46" s="459">
        <f t="shared" si="4"/>
        <v>0</v>
      </c>
      <c r="K46" s="460"/>
      <c r="M46">
        <f t="shared" si="6"/>
        <v>0</v>
      </c>
      <c r="N46" s="415"/>
      <c r="O46" s="415"/>
    </row>
    <row r="47" customFormat="1" ht="20" hidden="1" customHeight="1" spans="1:17">
      <c r="A47" s="418">
        <v>2010408</v>
      </c>
      <c r="B47" s="419" t="s">
        <v>194</v>
      </c>
      <c r="C47" s="464">
        <v>2.133</v>
      </c>
      <c r="D47" s="461"/>
      <c r="E47" s="463">
        <v>5</v>
      </c>
      <c r="F47" s="457"/>
      <c r="G47" s="458">
        <f t="shared" si="2"/>
        <v>2.867</v>
      </c>
      <c r="H47" s="457">
        <f t="shared" si="3"/>
        <v>134.41162681669</v>
      </c>
      <c r="I47" s="461"/>
      <c r="J47" s="459">
        <f t="shared" si="4"/>
        <v>0</v>
      </c>
      <c r="K47" s="460"/>
      <c r="M47">
        <f t="shared" si="6"/>
        <v>0</v>
      </c>
      <c r="N47" s="415"/>
      <c r="O47" s="415"/>
      <c r="P47">
        <v>5</v>
      </c>
      <c r="Q47">
        <v>5</v>
      </c>
    </row>
    <row r="48" customFormat="1" ht="20" hidden="1" customHeight="1" spans="1:17">
      <c r="A48" s="418">
        <v>2010450</v>
      </c>
      <c r="B48" s="419" t="s">
        <v>174</v>
      </c>
      <c r="C48" s="464">
        <v>311.651789</v>
      </c>
      <c r="D48" s="466">
        <v>0.0432</v>
      </c>
      <c r="E48" s="463"/>
      <c r="F48" s="457">
        <f t="shared" si="1"/>
        <v>0</v>
      </c>
      <c r="G48" s="458">
        <f t="shared" si="2"/>
        <v>-311.651789</v>
      </c>
      <c r="H48" s="457">
        <f t="shared" si="3"/>
        <v>-100</v>
      </c>
      <c r="I48" s="466"/>
      <c r="J48" s="459">
        <f t="shared" si="4"/>
        <v>-0.0432</v>
      </c>
      <c r="K48" s="460">
        <f t="shared" si="5"/>
        <v>-100</v>
      </c>
      <c r="M48">
        <f t="shared" si="6"/>
        <v>459</v>
      </c>
      <c r="N48" s="415">
        <v>459</v>
      </c>
      <c r="O48" s="415"/>
    </row>
    <row r="49" customFormat="1" ht="20" hidden="1" customHeight="1" spans="1:16">
      <c r="A49" s="418">
        <v>2010499</v>
      </c>
      <c r="B49" s="421" t="s">
        <v>195</v>
      </c>
      <c r="C49" s="464">
        <v>3000</v>
      </c>
      <c r="D49" s="466">
        <v>6.8</v>
      </c>
      <c r="E49" s="463">
        <v>7</v>
      </c>
      <c r="F49" s="457">
        <f t="shared" si="1"/>
        <v>102.941176470588</v>
      </c>
      <c r="G49" s="458">
        <f t="shared" si="2"/>
        <v>-2993</v>
      </c>
      <c r="H49" s="457">
        <f t="shared" si="3"/>
        <v>-99.7666666666667</v>
      </c>
      <c r="I49" s="466">
        <v>411</v>
      </c>
      <c r="J49" s="459">
        <f t="shared" si="4"/>
        <v>404.2</v>
      </c>
      <c r="K49" s="460">
        <f t="shared" si="5"/>
        <v>5944.11764705882</v>
      </c>
      <c r="M49">
        <f t="shared" si="6"/>
        <v>0</v>
      </c>
      <c r="N49" s="415"/>
      <c r="O49" s="415"/>
    </row>
    <row r="50" customFormat="1" ht="20" hidden="1" customHeight="1" spans="1:16">
      <c r="A50" s="416">
        <v>20105</v>
      </c>
      <c r="B50" s="426" t="s">
        <v>196</v>
      </c>
      <c r="C50" s="465">
        <f>SUM(C51:C60)</f>
        <v>623.227137</v>
      </c>
      <c r="D50" s="465">
        <f>SUM(D51:D60)</f>
        <v>530.358624</v>
      </c>
      <c r="E50" s="465">
        <f>SUM(E51:E60)</f>
        <v>705</v>
      </c>
      <c r="F50" s="457">
        <f t="shared" si="1"/>
        <v>132.928921695068</v>
      </c>
      <c r="G50" s="458">
        <f t="shared" si="2"/>
        <v>81.772863</v>
      </c>
      <c r="H50" s="457">
        <f t="shared" si="3"/>
        <v>13.1208765063772</v>
      </c>
      <c r="I50" s="465">
        <f>SUM(I51:I60)</f>
        <v>604.498451</v>
      </c>
      <c r="J50" s="459">
        <f t="shared" si="4"/>
        <v>74.1398270000001</v>
      </c>
      <c r="K50" s="460">
        <f t="shared" si="5"/>
        <v>13.9791875996722</v>
      </c>
      <c r="M50">
        <f t="shared" si="6"/>
        <v>0</v>
      </c>
      <c r="N50" s="415"/>
      <c r="O50" s="415"/>
    </row>
    <row r="51" customFormat="1" ht="20" hidden="1" customHeight="1" spans="1:16">
      <c r="A51" s="418">
        <v>2010501</v>
      </c>
      <c r="B51" s="421" t="s">
        <v>165</v>
      </c>
      <c r="C51" s="464">
        <v>288.804986</v>
      </c>
      <c r="D51" s="466">
        <v>295.978256</v>
      </c>
      <c r="E51" s="463">
        <v>289</v>
      </c>
      <c r="F51" s="457">
        <f t="shared" si="1"/>
        <v>97.6423078862928</v>
      </c>
      <c r="G51" s="458">
        <f t="shared" si="2"/>
        <v>0.195014000000015</v>
      </c>
      <c r="H51" s="457">
        <f t="shared" si="3"/>
        <v>0.0675244574898076</v>
      </c>
      <c r="I51" s="462">
        <v>282.279876</v>
      </c>
      <c r="J51" s="459">
        <f t="shared" si="4"/>
        <v>-13.69838</v>
      </c>
      <c r="K51" s="460">
        <f t="shared" si="5"/>
        <v>-4.62817106402573</v>
      </c>
      <c r="M51" s="278">
        <f t="shared" si="6"/>
        <v>276</v>
      </c>
      <c r="N51" s="415">
        <v>276</v>
      </c>
      <c r="O51" s="415"/>
    </row>
    <row r="52" customFormat="1" ht="20" hidden="1" customHeight="1" spans="1:16">
      <c r="A52" s="418">
        <v>2010502</v>
      </c>
      <c r="B52" s="422" t="s">
        <v>166</v>
      </c>
      <c r="C52" s="464">
        <v>0</v>
      </c>
      <c r="D52" s="466">
        <v>1.5</v>
      </c>
      <c r="E52" s="463">
        <v>1</v>
      </c>
      <c r="F52" s="457">
        <f t="shared" si="1"/>
        <v>66.6666666666667</v>
      </c>
      <c r="G52" s="458">
        <f t="shared" si="2"/>
        <v>1</v>
      </c>
      <c r="H52" s="457"/>
      <c r="I52" s="462">
        <v>1.5</v>
      </c>
      <c r="J52" s="459">
        <f t="shared" si="4"/>
        <v>0</v>
      </c>
      <c r="K52" s="460">
        <f t="shared" si="5"/>
        <v>0</v>
      </c>
      <c r="M52" s="278">
        <f t="shared" si="6"/>
        <v>0</v>
      </c>
      <c r="N52" s="415"/>
      <c r="O52" s="415"/>
    </row>
    <row r="53" customFormat="1" ht="20" hidden="1" customHeight="1" spans="1:16">
      <c r="A53" s="418">
        <v>2010503</v>
      </c>
      <c r="B53" s="419" t="s">
        <v>167</v>
      </c>
      <c r="C53" s="464">
        <v>0</v>
      </c>
      <c r="D53" s="461"/>
      <c r="E53" s="463"/>
      <c r="F53" s="457"/>
      <c r="G53" s="458">
        <f t="shared" si="2"/>
        <v>0</v>
      </c>
      <c r="H53" s="457"/>
      <c r="I53" s="461"/>
      <c r="J53" s="459">
        <f t="shared" si="4"/>
        <v>0</v>
      </c>
      <c r="K53" s="460"/>
      <c r="M53" s="278">
        <f t="shared" si="6"/>
        <v>0</v>
      </c>
      <c r="N53" s="415"/>
      <c r="O53" s="415"/>
    </row>
    <row r="54" customFormat="1" ht="20" hidden="1" customHeight="1" spans="1:16">
      <c r="A54" s="418">
        <v>2010504</v>
      </c>
      <c r="B54" s="419" t="s">
        <v>197</v>
      </c>
      <c r="C54" s="464">
        <v>130.131356</v>
      </c>
      <c r="D54" s="466">
        <v>122.845707</v>
      </c>
      <c r="E54" s="463">
        <v>126</v>
      </c>
      <c r="F54" s="457">
        <f t="shared" si="1"/>
        <v>102.567686797553</v>
      </c>
      <c r="G54" s="458">
        <f t="shared" si="2"/>
        <v>-4.13135600000001</v>
      </c>
      <c r="H54" s="457">
        <f t="shared" si="3"/>
        <v>-3.17475828039478</v>
      </c>
      <c r="I54" s="462">
        <v>127.629646</v>
      </c>
      <c r="J54" s="459">
        <f t="shared" si="4"/>
        <v>4.78393899999999</v>
      </c>
      <c r="K54" s="460">
        <f t="shared" si="5"/>
        <v>3.89426632548095</v>
      </c>
      <c r="M54" s="278">
        <f t="shared" si="6"/>
        <v>134</v>
      </c>
      <c r="N54" s="415">
        <v>134</v>
      </c>
      <c r="O54" s="415"/>
    </row>
    <row r="55" customFormat="1" ht="20" hidden="1" customHeight="1" spans="1:16">
      <c r="A55" s="418">
        <v>2010505</v>
      </c>
      <c r="B55" s="419" t="s">
        <v>198</v>
      </c>
      <c r="C55" s="464">
        <v>90.410295</v>
      </c>
      <c r="D55" s="466">
        <v>36.394661</v>
      </c>
      <c r="E55" s="463">
        <v>126</v>
      </c>
      <c r="F55" s="457">
        <f t="shared" si="1"/>
        <v>346.204626002699</v>
      </c>
      <c r="G55" s="458">
        <f t="shared" si="2"/>
        <v>35.589705</v>
      </c>
      <c r="H55" s="457">
        <f t="shared" si="3"/>
        <v>39.3646597436719</v>
      </c>
      <c r="I55" s="462">
        <v>143.088929</v>
      </c>
      <c r="J55" s="459">
        <f t="shared" si="4"/>
        <v>106.694268</v>
      </c>
      <c r="K55" s="460">
        <f t="shared" si="5"/>
        <v>293.159120234696</v>
      </c>
      <c r="M55" s="278">
        <f t="shared" si="6"/>
        <v>57</v>
      </c>
      <c r="N55" s="415">
        <v>57</v>
      </c>
      <c r="O55" s="415"/>
    </row>
    <row r="56" customFormat="1" ht="20" hidden="1" customHeight="1" spans="1:16">
      <c r="A56" s="418">
        <v>2010506</v>
      </c>
      <c r="B56" s="421" t="s">
        <v>199</v>
      </c>
      <c r="C56" s="464">
        <v>47</v>
      </c>
      <c r="D56" s="461">
        <v>47</v>
      </c>
      <c r="E56" s="463">
        <v>54</v>
      </c>
      <c r="F56" s="457">
        <f t="shared" si="1"/>
        <v>114.893617021277</v>
      </c>
      <c r="G56" s="458">
        <f t="shared" si="2"/>
        <v>7</v>
      </c>
      <c r="H56" s="457">
        <f t="shared" si="3"/>
        <v>14.8936170212766</v>
      </c>
      <c r="I56" s="461"/>
      <c r="J56" s="459">
        <f t="shared" si="4"/>
        <v>-47</v>
      </c>
      <c r="K56" s="460">
        <f t="shared" si="5"/>
        <v>-100</v>
      </c>
      <c r="M56" s="278">
        <f t="shared" si="6"/>
        <v>0</v>
      </c>
      <c r="N56" s="415"/>
      <c r="O56" s="415"/>
      <c r="P56">
        <v>47</v>
      </c>
    </row>
    <row r="57" customFormat="1" ht="20" hidden="1" customHeight="1" spans="1:16">
      <c r="A57" s="418">
        <v>2010507</v>
      </c>
      <c r="B57" s="421" t="s">
        <v>200</v>
      </c>
      <c r="C57" s="464">
        <v>33.257</v>
      </c>
      <c r="D57" s="461"/>
      <c r="E57" s="463">
        <v>6</v>
      </c>
      <c r="F57" s="457"/>
      <c r="G57" s="458">
        <f t="shared" si="2"/>
        <v>-27.257</v>
      </c>
      <c r="H57" s="457">
        <f t="shared" si="3"/>
        <v>-81.9586853895421</v>
      </c>
      <c r="I57" s="462">
        <v>40</v>
      </c>
      <c r="J57" s="459">
        <f t="shared" si="4"/>
        <v>40</v>
      </c>
      <c r="K57" s="460"/>
      <c r="M57" s="278">
        <f t="shared" si="6"/>
        <v>5</v>
      </c>
      <c r="N57" s="415">
        <v>5</v>
      </c>
      <c r="O57" s="415"/>
    </row>
    <row r="58" customFormat="1" ht="20" hidden="1" customHeight="1" spans="1:16">
      <c r="A58" s="418">
        <v>2010508</v>
      </c>
      <c r="B58" s="421" t="s">
        <v>201</v>
      </c>
      <c r="C58" s="464">
        <v>33.6235</v>
      </c>
      <c r="D58" s="466">
        <v>26.64</v>
      </c>
      <c r="E58" s="463">
        <v>103</v>
      </c>
      <c r="F58" s="457">
        <f t="shared" si="1"/>
        <v>386.636636636637</v>
      </c>
      <c r="G58" s="458">
        <f t="shared" si="2"/>
        <v>69.3765</v>
      </c>
      <c r="H58" s="457">
        <f t="shared" si="3"/>
        <v>206.333368031288</v>
      </c>
      <c r="I58" s="462">
        <v>10</v>
      </c>
      <c r="J58" s="459">
        <f t="shared" si="4"/>
        <v>-16.64</v>
      </c>
      <c r="K58" s="460">
        <f t="shared" si="5"/>
        <v>-62.4624624624625</v>
      </c>
      <c r="M58" s="278">
        <f t="shared" si="6"/>
        <v>2</v>
      </c>
      <c r="N58" s="415">
        <v>2</v>
      </c>
      <c r="O58" s="415"/>
    </row>
    <row r="59" customFormat="1" ht="20" hidden="1" customHeight="1" spans="1:16">
      <c r="A59" s="418">
        <v>2010550</v>
      </c>
      <c r="B59" s="419" t="s">
        <v>174</v>
      </c>
      <c r="C59" s="464">
        <v>0</v>
      </c>
      <c r="D59" s="461"/>
      <c r="E59" s="463"/>
      <c r="F59" s="457"/>
      <c r="G59" s="458">
        <f t="shared" si="2"/>
        <v>0</v>
      </c>
      <c r="H59" s="457"/>
      <c r="I59" s="461"/>
      <c r="J59" s="459">
        <f t="shared" si="4"/>
        <v>0</v>
      </c>
      <c r="K59" s="460"/>
      <c r="M59" s="278">
        <f t="shared" si="6"/>
        <v>0</v>
      </c>
      <c r="N59" s="415"/>
      <c r="O59" s="415"/>
    </row>
    <row r="60" customFormat="1" ht="20" hidden="1" customHeight="1" spans="1:16">
      <c r="A60" s="418">
        <v>2010599</v>
      </c>
      <c r="B60" s="419" t="s">
        <v>202</v>
      </c>
      <c r="C60" s="464">
        <v>0</v>
      </c>
      <c r="D60" s="461"/>
      <c r="E60" s="463"/>
      <c r="F60" s="457"/>
      <c r="G60" s="458">
        <f t="shared" si="2"/>
        <v>0</v>
      </c>
      <c r="H60" s="457"/>
      <c r="I60" s="461"/>
      <c r="J60" s="459">
        <f t="shared" si="4"/>
        <v>0</v>
      </c>
      <c r="K60" s="460"/>
      <c r="M60">
        <f t="shared" si="6"/>
        <v>0</v>
      </c>
      <c r="N60" s="415"/>
      <c r="O60" s="415"/>
    </row>
    <row r="61" customFormat="1" ht="20" hidden="1" customHeight="1" spans="1:16">
      <c r="A61" s="416">
        <v>20106</v>
      </c>
      <c r="B61" s="417" t="s">
        <v>203</v>
      </c>
      <c r="C61" s="465">
        <f>SUM(C62:C71)</f>
        <v>1496.315921</v>
      </c>
      <c r="D61" s="465">
        <f>SUM(D62:D71)</f>
        <v>1285.102121</v>
      </c>
      <c r="E61" s="465">
        <f>SUM(E62:E71)</f>
        <v>1211</v>
      </c>
      <c r="F61" s="457">
        <f t="shared" si="1"/>
        <v>94.2337562292452</v>
      </c>
      <c r="G61" s="458">
        <f t="shared" si="2"/>
        <v>-285.315921</v>
      </c>
      <c r="H61" s="457">
        <f t="shared" si="3"/>
        <v>-19.0678931498183</v>
      </c>
      <c r="I61" s="465">
        <f>SUM(I62:I71)</f>
        <v>1375.03005</v>
      </c>
      <c r="J61" s="459">
        <f t="shared" si="4"/>
        <v>89.9279290000002</v>
      </c>
      <c r="K61" s="460">
        <f t="shared" si="5"/>
        <v>6.99772629197926</v>
      </c>
      <c r="M61">
        <f t="shared" si="6"/>
        <v>0</v>
      </c>
      <c r="N61" s="415"/>
      <c r="O61" s="415"/>
    </row>
    <row r="62" customFormat="1" ht="20" hidden="1" customHeight="1" spans="1:16">
      <c r="A62" s="418">
        <v>2010601</v>
      </c>
      <c r="B62" s="421" t="s">
        <v>165</v>
      </c>
      <c r="C62" s="464">
        <v>839.034006</v>
      </c>
      <c r="D62" s="466">
        <v>855.102121</v>
      </c>
      <c r="E62" s="463">
        <v>906</v>
      </c>
      <c r="F62" s="457">
        <f t="shared" si="1"/>
        <v>105.952257367866</v>
      </c>
      <c r="G62" s="458">
        <f t="shared" si="2"/>
        <v>66.965994</v>
      </c>
      <c r="H62" s="457">
        <f t="shared" si="3"/>
        <v>7.98132060454294</v>
      </c>
      <c r="I62" s="462">
        <v>887.72005</v>
      </c>
      <c r="J62" s="459">
        <f t="shared" si="4"/>
        <v>32.617929</v>
      </c>
      <c r="K62" s="460">
        <f t="shared" si="5"/>
        <v>3.81450685233419</v>
      </c>
      <c r="M62">
        <f t="shared" si="6"/>
        <v>847</v>
      </c>
      <c r="N62" s="415">
        <v>847</v>
      </c>
      <c r="O62" s="415"/>
    </row>
    <row r="63" customFormat="1" ht="20" hidden="1" customHeight="1" spans="1:16">
      <c r="A63" s="418">
        <v>2010602</v>
      </c>
      <c r="B63" s="239" t="s">
        <v>166</v>
      </c>
      <c r="C63" s="464">
        <v>302.731356</v>
      </c>
      <c r="D63" s="466">
        <v>15</v>
      </c>
      <c r="E63" s="463">
        <v>262</v>
      </c>
      <c r="F63" s="457">
        <f t="shared" si="1"/>
        <v>1746.66666666667</v>
      </c>
      <c r="G63" s="458">
        <f t="shared" si="2"/>
        <v>-40.731356</v>
      </c>
      <c r="H63" s="457">
        <f t="shared" si="3"/>
        <v>-13.4546208024781</v>
      </c>
      <c r="I63" s="466">
        <v>44.95</v>
      </c>
      <c r="J63" s="459">
        <f t="shared" si="4"/>
        <v>29.95</v>
      </c>
      <c r="K63" s="460">
        <f t="shared" si="5"/>
        <v>199.666666666667</v>
      </c>
      <c r="M63">
        <f t="shared" si="6"/>
        <v>27</v>
      </c>
      <c r="N63" s="415">
        <v>27</v>
      </c>
      <c r="O63" s="415"/>
    </row>
    <row r="64" customFormat="1" ht="20" hidden="1" customHeight="1" spans="1:16">
      <c r="A64" s="418">
        <v>2010603</v>
      </c>
      <c r="B64" s="239" t="s">
        <v>167</v>
      </c>
      <c r="C64" s="464">
        <v>0</v>
      </c>
      <c r="D64" s="461"/>
      <c r="E64" s="463"/>
      <c r="F64" s="457"/>
      <c r="G64" s="458">
        <f t="shared" si="2"/>
        <v>0</v>
      </c>
      <c r="H64" s="457"/>
      <c r="I64" s="461"/>
      <c r="J64" s="459">
        <f t="shared" si="4"/>
        <v>0</v>
      </c>
      <c r="K64" s="460"/>
      <c r="M64">
        <f t="shared" si="6"/>
        <v>0</v>
      </c>
      <c r="N64" s="415"/>
      <c r="O64" s="415"/>
    </row>
    <row r="65" customFormat="1" ht="20" hidden="1" customHeight="1" spans="1:15">
      <c r="A65" s="418">
        <v>2010604</v>
      </c>
      <c r="B65" s="239" t="s">
        <v>204</v>
      </c>
      <c r="C65" s="464">
        <v>0</v>
      </c>
      <c r="D65" s="461"/>
      <c r="E65" s="463"/>
      <c r="F65" s="457"/>
      <c r="G65" s="458">
        <f t="shared" si="2"/>
        <v>0</v>
      </c>
      <c r="H65" s="457"/>
      <c r="I65" s="461"/>
      <c r="J65" s="459">
        <f t="shared" si="4"/>
        <v>0</v>
      </c>
      <c r="K65" s="460"/>
      <c r="M65">
        <f t="shared" si="6"/>
        <v>0</v>
      </c>
      <c r="N65" s="415"/>
      <c r="O65" s="415"/>
    </row>
    <row r="66" customFormat="1" ht="20" hidden="1" customHeight="1" spans="1:15">
      <c r="A66" s="418">
        <v>2010605</v>
      </c>
      <c r="B66" s="239" t="s">
        <v>205</v>
      </c>
      <c r="C66" s="464">
        <v>0</v>
      </c>
      <c r="D66" s="461"/>
      <c r="E66" s="463"/>
      <c r="F66" s="457"/>
      <c r="G66" s="458">
        <f t="shared" si="2"/>
        <v>0</v>
      </c>
      <c r="H66" s="457"/>
      <c r="I66" s="461"/>
      <c r="J66" s="459">
        <f t="shared" si="4"/>
        <v>0</v>
      </c>
      <c r="K66" s="460"/>
      <c r="M66">
        <f t="shared" si="6"/>
        <v>0</v>
      </c>
      <c r="N66" s="415"/>
      <c r="O66" s="415"/>
    </row>
    <row r="67" customFormat="1" ht="20" hidden="1" customHeight="1" spans="1:15">
      <c r="A67" s="418">
        <v>2010606</v>
      </c>
      <c r="B67" s="239" t="s">
        <v>206</v>
      </c>
      <c r="C67" s="464">
        <v>0</v>
      </c>
      <c r="D67" s="461"/>
      <c r="E67" s="463"/>
      <c r="F67" s="457"/>
      <c r="G67" s="458">
        <f t="shared" si="2"/>
        <v>0</v>
      </c>
      <c r="H67" s="457"/>
      <c r="I67" s="461"/>
      <c r="J67" s="459">
        <f t="shared" si="4"/>
        <v>0</v>
      </c>
      <c r="K67" s="460"/>
      <c r="M67">
        <f t="shared" si="6"/>
        <v>0</v>
      </c>
      <c r="N67" s="415"/>
      <c r="O67" s="415"/>
    </row>
    <row r="68" customFormat="1" ht="20" hidden="1" customHeight="1" spans="1:15">
      <c r="A68" s="418">
        <v>2010607</v>
      </c>
      <c r="B68" s="419" t="s">
        <v>207</v>
      </c>
      <c r="C68" s="464">
        <v>0</v>
      </c>
      <c r="D68" s="461"/>
      <c r="E68" s="463"/>
      <c r="F68" s="457"/>
      <c r="G68" s="458">
        <f t="shared" si="2"/>
        <v>0</v>
      </c>
      <c r="H68" s="457"/>
      <c r="I68" s="461"/>
      <c r="J68" s="459">
        <f t="shared" si="4"/>
        <v>0</v>
      </c>
      <c r="K68" s="460"/>
      <c r="M68">
        <f t="shared" si="6"/>
        <v>0</v>
      </c>
      <c r="N68" s="415"/>
      <c r="O68" s="415"/>
    </row>
    <row r="69" customFormat="1" ht="20" hidden="1" customHeight="1" spans="1:15">
      <c r="A69" s="418">
        <v>2010608</v>
      </c>
      <c r="B69" s="421" t="s">
        <v>208</v>
      </c>
      <c r="C69" s="464">
        <v>0</v>
      </c>
      <c r="D69" s="461"/>
      <c r="E69" s="463">
        <v>41</v>
      </c>
      <c r="F69" s="457"/>
      <c r="G69" s="458">
        <f t="shared" si="2"/>
        <v>41</v>
      </c>
      <c r="H69" s="457"/>
      <c r="I69" s="461"/>
      <c r="J69" s="459">
        <f t="shared" si="4"/>
        <v>0</v>
      </c>
      <c r="K69" s="460"/>
      <c r="M69">
        <f t="shared" si="6"/>
        <v>0</v>
      </c>
      <c r="N69" s="415"/>
      <c r="O69" s="415"/>
    </row>
    <row r="70" customFormat="1" ht="20" hidden="1" customHeight="1" spans="1:15">
      <c r="A70" s="418">
        <v>2010650</v>
      </c>
      <c r="B70" s="421" t="s">
        <v>174</v>
      </c>
      <c r="C70" s="464">
        <v>354.550559</v>
      </c>
      <c r="D70" s="461"/>
      <c r="E70" s="463"/>
      <c r="F70" s="457"/>
      <c r="G70" s="458">
        <f t="shared" si="2"/>
        <v>-354.550559</v>
      </c>
      <c r="H70" s="457">
        <f t="shared" si="3"/>
        <v>-100</v>
      </c>
      <c r="I70" s="462">
        <v>27.36</v>
      </c>
      <c r="J70" s="459">
        <f t="shared" si="4"/>
        <v>27.36</v>
      </c>
      <c r="K70" s="460"/>
      <c r="M70">
        <f t="shared" si="6"/>
        <v>512</v>
      </c>
      <c r="N70" s="415">
        <v>512</v>
      </c>
      <c r="O70" s="415"/>
    </row>
    <row r="71" customFormat="1" ht="20" hidden="1" customHeight="1" spans="1:15">
      <c r="A71" s="418">
        <v>2010699</v>
      </c>
      <c r="B71" s="421" t="s">
        <v>209</v>
      </c>
      <c r="C71" s="464">
        <v>0</v>
      </c>
      <c r="D71" s="461">
        <v>415</v>
      </c>
      <c r="E71" s="463">
        <v>2</v>
      </c>
      <c r="F71" s="457">
        <f>E71/D71*100</f>
        <v>0.481927710843374</v>
      </c>
      <c r="G71" s="458">
        <f t="shared" ref="G71:G134" si="7">E71-C71</f>
        <v>2</v>
      </c>
      <c r="H71" s="457"/>
      <c r="I71" s="461">
        <v>415</v>
      </c>
      <c r="J71" s="459">
        <f t="shared" ref="J71:J134" si="8">I71-D71</f>
        <v>0</v>
      </c>
      <c r="K71" s="460">
        <f>J71/D71*100</f>
        <v>0</v>
      </c>
      <c r="M71">
        <f t="shared" si="6"/>
        <v>10</v>
      </c>
      <c r="N71" s="415"/>
      <c r="O71" s="415">
        <v>10</v>
      </c>
    </row>
    <row r="72" customFormat="1" ht="20" hidden="1" customHeight="1" spans="1:15">
      <c r="A72" s="416">
        <v>20107</v>
      </c>
      <c r="B72" s="417" t="s">
        <v>210</v>
      </c>
      <c r="C72" s="465">
        <f>SUM(C73:C84)</f>
        <v>748.473292</v>
      </c>
      <c r="D72" s="465">
        <f>SUM(D73:D84)</f>
        <v>92.60664</v>
      </c>
      <c r="E72" s="465">
        <f>SUM(E73:E84)</f>
        <v>375</v>
      </c>
      <c r="F72" s="457">
        <f>E72/D72*100</f>
        <v>404.938565960281</v>
      </c>
      <c r="G72" s="458">
        <f t="shared" si="7"/>
        <v>-373.473292</v>
      </c>
      <c r="H72" s="457">
        <f>G72/C72*100</f>
        <v>-49.898011858518</v>
      </c>
      <c r="I72" s="465">
        <f>SUM(I73:I84)</f>
        <v>0</v>
      </c>
      <c r="J72" s="459">
        <f t="shared" si="8"/>
        <v>-92.60664</v>
      </c>
      <c r="K72" s="460">
        <f>J72/D72*100</f>
        <v>-100</v>
      </c>
      <c r="M72">
        <f t="shared" si="6"/>
        <v>0</v>
      </c>
      <c r="N72" s="415"/>
      <c r="O72" s="415"/>
    </row>
    <row r="73" customFormat="1" ht="20" hidden="1" customHeight="1" spans="1:15">
      <c r="A73" s="418">
        <v>2010701</v>
      </c>
      <c r="B73" s="419" t="s">
        <v>165</v>
      </c>
      <c r="C73" s="464"/>
      <c r="D73" s="461"/>
      <c r="E73" s="461">
        <v>0</v>
      </c>
      <c r="F73" s="457"/>
      <c r="G73" s="458">
        <f t="shared" si="7"/>
        <v>0</v>
      </c>
      <c r="H73" s="457"/>
      <c r="I73" s="461"/>
      <c r="J73" s="459">
        <f t="shared" si="8"/>
        <v>0</v>
      </c>
      <c r="K73" s="460"/>
      <c r="M73">
        <f t="shared" si="6"/>
        <v>0</v>
      </c>
      <c r="N73" s="415"/>
      <c r="O73" s="415"/>
    </row>
    <row r="74" customFormat="1" ht="20" hidden="1" customHeight="1" spans="1:15">
      <c r="A74" s="418">
        <v>2010702</v>
      </c>
      <c r="B74" s="419" t="s">
        <v>166</v>
      </c>
      <c r="C74" s="464"/>
      <c r="D74" s="461"/>
      <c r="E74" s="461">
        <v>0</v>
      </c>
      <c r="F74" s="457"/>
      <c r="G74" s="458">
        <f t="shared" si="7"/>
        <v>0</v>
      </c>
      <c r="H74" s="457"/>
      <c r="I74" s="461"/>
      <c r="J74" s="459">
        <f t="shared" si="8"/>
        <v>0</v>
      </c>
      <c r="K74" s="460"/>
      <c r="M74">
        <f t="shared" si="6"/>
        <v>0</v>
      </c>
      <c r="N74" s="415"/>
      <c r="O74" s="415"/>
    </row>
    <row r="75" customFormat="1" ht="20" hidden="1" customHeight="1" spans="1:15">
      <c r="A75" s="418">
        <v>2010703</v>
      </c>
      <c r="B75" s="421" t="s">
        <v>167</v>
      </c>
      <c r="C75" s="464"/>
      <c r="D75" s="461"/>
      <c r="E75" s="461">
        <v>0</v>
      </c>
      <c r="F75" s="457"/>
      <c r="G75" s="458">
        <f t="shared" si="7"/>
        <v>0</v>
      </c>
      <c r="H75" s="457"/>
      <c r="I75" s="461"/>
      <c r="J75" s="459">
        <f t="shared" si="8"/>
        <v>0</v>
      </c>
      <c r="K75" s="460"/>
      <c r="M75">
        <f t="shared" si="6"/>
        <v>0</v>
      </c>
      <c r="N75" s="415"/>
      <c r="O75" s="415"/>
    </row>
    <row r="76" customFormat="1" ht="20" hidden="1" customHeight="1" spans="1:15">
      <c r="A76" s="418">
        <v>2010704</v>
      </c>
      <c r="B76" s="421" t="s">
        <v>211</v>
      </c>
      <c r="C76" s="464"/>
      <c r="D76" s="461"/>
      <c r="E76" s="461">
        <v>0</v>
      </c>
      <c r="F76" s="457"/>
      <c r="G76" s="458">
        <f t="shared" si="7"/>
        <v>0</v>
      </c>
      <c r="H76" s="457"/>
      <c r="I76" s="461"/>
      <c r="J76" s="459">
        <f t="shared" si="8"/>
        <v>0</v>
      </c>
      <c r="K76" s="460"/>
      <c r="M76">
        <f t="shared" si="6"/>
        <v>0</v>
      </c>
      <c r="N76" s="415"/>
      <c r="O76" s="415"/>
    </row>
    <row r="77" customFormat="1" ht="20" hidden="1" customHeight="1" spans="1:15">
      <c r="A77" s="418">
        <v>2010705</v>
      </c>
      <c r="B77" s="421" t="s">
        <v>212</v>
      </c>
      <c r="C77" s="464"/>
      <c r="D77" s="461"/>
      <c r="E77" s="461">
        <v>0</v>
      </c>
      <c r="F77" s="457"/>
      <c r="G77" s="458">
        <f t="shared" si="7"/>
        <v>0</v>
      </c>
      <c r="H77" s="457"/>
      <c r="I77" s="461"/>
      <c r="J77" s="459">
        <f t="shared" si="8"/>
        <v>0</v>
      </c>
      <c r="K77" s="460"/>
      <c r="M77">
        <f t="shared" si="6"/>
        <v>0</v>
      </c>
      <c r="N77" s="415"/>
      <c r="O77" s="415"/>
    </row>
    <row r="78" customFormat="1" ht="20" hidden="1" customHeight="1" spans="1:15">
      <c r="A78" s="418">
        <v>2010706</v>
      </c>
      <c r="B78" s="422" t="s">
        <v>213</v>
      </c>
      <c r="C78" s="464"/>
      <c r="D78" s="461"/>
      <c r="E78" s="461">
        <v>0</v>
      </c>
      <c r="F78" s="457"/>
      <c r="G78" s="458">
        <f t="shared" si="7"/>
        <v>0</v>
      </c>
      <c r="H78" s="457"/>
      <c r="I78" s="461"/>
      <c r="J78" s="459">
        <f t="shared" si="8"/>
        <v>0</v>
      </c>
      <c r="K78" s="460"/>
      <c r="M78">
        <f t="shared" si="6"/>
        <v>0</v>
      </c>
      <c r="N78" s="415"/>
      <c r="O78" s="415"/>
    </row>
    <row r="79" customFormat="1" ht="20" hidden="1" customHeight="1" spans="1:15">
      <c r="A79" s="418">
        <v>2010707</v>
      </c>
      <c r="B79" s="419" t="s">
        <v>214</v>
      </c>
      <c r="C79" s="464"/>
      <c r="D79" s="461"/>
      <c r="E79" s="461">
        <v>0</v>
      </c>
      <c r="F79" s="457"/>
      <c r="G79" s="458">
        <f t="shared" si="7"/>
        <v>0</v>
      </c>
      <c r="H79" s="457"/>
      <c r="I79" s="461"/>
      <c r="J79" s="459">
        <f t="shared" si="8"/>
        <v>0</v>
      </c>
      <c r="K79" s="460"/>
      <c r="M79">
        <f t="shared" si="6"/>
        <v>0</v>
      </c>
      <c r="N79" s="415"/>
      <c r="O79" s="415"/>
    </row>
    <row r="80" customFormat="1" ht="20" hidden="1" customHeight="1" spans="1:15">
      <c r="A80" s="418">
        <v>2010708</v>
      </c>
      <c r="B80" s="419" t="s">
        <v>215</v>
      </c>
      <c r="C80" s="464"/>
      <c r="D80" s="461"/>
      <c r="E80" s="461">
        <v>0</v>
      </c>
      <c r="F80" s="457"/>
      <c r="G80" s="458">
        <f t="shared" si="7"/>
        <v>0</v>
      </c>
      <c r="H80" s="457"/>
      <c r="I80" s="461"/>
      <c r="J80" s="459">
        <f t="shared" si="8"/>
        <v>0</v>
      </c>
      <c r="K80" s="460"/>
      <c r="M80">
        <f t="shared" si="6"/>
        <v>0</v>
      </c>
      <c r="N80" s="415"/>
      <c r="O80" s="415"/>
    </row>
    <row r="81" customFormat="1" ht="20" hidden="1" customHeight="1" spans="1:16">
      <c r="A81" s="418">
        <v>2010709</v>
      </c>
      <c r="B81" s="419" t="s">
        <v>207</v>
      </c>
      <c r="C81" s="464"/>
      <c r="D81" s="461"/>
      <c r="E81" s="461">
        <v>0</v>
      </c>
      <c r="F81" s="457"/>
      <c r="G81" s="458">
        <f t="shared" si="7"/>
        <v>0</v>
      </c>
      <c r="H81" s="457"/>
      <c r="I81" s="461"/>
      <c r="J81" s="459">
        <f t="shared" si="8"/>
        <v>0</v>
      </c>
      <c r="K81" s="460"/>
      <c r="M81">
        <f t="shared" si="6"/>
        <v>0</v>
      </c>
      <c r="N81" s="415"/>
      <c r="O81" s="415"/>
    </row>
    <row r="82" customFormat="1" ht="20" hidden="1" customHeight="1" spans="1:16">
      <c r="A82" s="418">
        <v>2010710</v>
      </c>
      <c r="B82" s="419" t="s">
        <v>216</v>
      </c>
      <c r="C82" s="464"/>
      <c r="D82" s="461"/>
      <c r="E82" s="461">
        <v>0</v>
      </c>
      <c r="F82" s="457"/>
      <c r="G82" s="458">
        <f t="shared" si="7"/>
        <v>0</v>
      </c>
      <c r="H82" s="457"/>
      <c r="I82" s="461"/>
      <c r="J82" s="459">
        <f t="shared" si="8"/>
        <v>0</v>
      </c>
      <c r="K82" s="460"/>
      <c r="M82">
        <f t="shared" si="6"/>
        <v>0</v>
      </c>
      <c r="N82" s="415"/>
      <c r="O82" s="415"/>
    </row>
    <row r="83" customFormat="1" ht="20" hidden="1" customHeight="1" spans="1:16">
      <c r="A83" s="418">
        <v>2010750</v>
      </c>
      <c r="B83" s="421" t="s">
        <v>174</v>
      </c>
      <c r="C83" s="464"/>
      <c r="D83" s="461"/>
      <c r="E83" s="461">
        <v>0</v>
      </c>
      <c r="F83" s="457"/>
      <c r="G83" s="458">
        <f t="shared" si="7"/>
        <v>0</v>
      </c>
      <c r="H83" s="457"/>
      <c r="I83" s="461"/>
      <c r="J83" s="459">
        <f t="shared" si="8"/>
        <v>0</v>
      </c>
      <c r="K83" s="460"/>
      <c r="M83">
        <f t="shared" si="6"/>
        <v>0</v>
      </c>
      <c r="N83" s="415"/>
      <c r="O83" s="415"/>
    </row>
    <row r="84" customFormat="1" ht="20" hidden="1" customHeight="1" spans="1:16">
      <c r="A84" s="418">
        <v>2010799</v>
      </c>
      <c r="B84" s="421" t="s">
        <v>217</v>
      </c>
      <c r="C84" s="461">
        <v>748.473292</v>
      </c>
      <c r="D84" s="461">
        <v>92.60664</v>
      </c>
      <c r="E84" s="463">
        <v>375</v>
      </c>
      <c r="F84" s="457">
        <f>E84/D84*100</f>
        <v>404.938565960281</v>
      </c>
      <c r="G84" s="458">
        <f t="shared" si="7"/>
        <v>-373.473292</v>
      </c>
      <c r="H84" s="457">
        <f>G84/C84*100</f>
        <v>-49.898011858518</v>
      </c>
      <c r="I84" s="461"/>
      <c r="J84" s="459">
        <f t="shared" si="8"/>
        <v>-92.60664</v>
      </c>
      <c r="K84" s="460">
        <f>J84/D84*100</f>
        <v>-100</v>
      </c>
      <c r="M84">
        <f t="shared" si="6"/>
        <v>518</v>
      </c>
      <c r="N84" s="415">
        <v>518</v>
      </c>
      <c r="O84" s="415"/>
    </row>
    <row r="85" customFormat="1" ht="20" hidden="1" customHeight="1" spans="1:16">
      <c r="A85" s="416">
        <v>20108</v>
      </c>
      <c r="B85" s="426" t="s">
        <v>218</v>
      </c>
      <c r="C85" s="467">
        <f>SUM(C86:C93)</f>
        <v>220.019972</v>
      </c>
      <c r="D85" s="467">
        <f>SUM(D86:D93)</f>
        <v>258.10761</v>
      </c>
      <c r="E85" s="467">
        <f>SUM(E86:E93)</f>
        <v>288</v>
      </c>
      <c r="F85" s="457">
        <f>E85/D85*100</f>
        <v>111.581367166973</v>
      </c>
      <c r="G85" s="458">
        <f t="shared" si="7"/>
        <v>67.980028</v>
      </c>
      <c r="H85" s="457">
        <f>G85/C85*100</f>
        <v>30.8972078225699</v>
      </c>
      <c r="I85" s="467">
        <f>SUM(I86:I93)</f>
        <v>222.721171</v>
      </c>
      <c r="J85" s="459">
        <f t="shared" si="8"/>
        <v>-35.386439</v>
      </c>
      <c r="K85" s="460">
        <f>J85/D85*100</f>
        <v>-13.7099557041344</v>
      </c>
      <c r="M85">
        <f t="shared" si="6"/>
        <v>0</v>
      </c>
      <c r="N85" s="415"/>
      <c r="O85" s="415"/>
    </row>
    <row r="86" customFormat="1" ht="20" hidden="1" customHeight="1" spans="1:16">
      <c r="A86" s="418">
        <v>2010801</v>
      </c>
      <c r="B86" s="419" t="s">
        <v>165</v>
      </c>
      <c r="C86" s="464">
        <v>211.916025</v>
      </c>
      <c r="D86" s="466">
        <v>218.659974</v>
      </c>
      <c r="E86" s="463">
        <v>220</v>
      </c>
      <c r="F86" s="457">
        <f>E86/D86*100</f>
        <v>100.61283552517</v>
      </c>
      <c r="G86" s="458">
        <f t="shared" si="7"/>
        <v>8.08397500000001</v>
      </c>
      <c r="H86" s="457">
        <f>G86/C86*100</f>
        <v>3.8147067924665</v>
      </c>
      <c r="I86" s="462">
        <v>218.751966</v>
      </c>
      <c r="J86" s="459">
        <f t="shared" si="8"/>
        <v>0.0919920000000047</v>
      </c>
      <c r="K86" s="460">
        <f>J86/D86*100</f>
        <v>0.0420707998437815</v>
      </c>
      <c r="M86">
        <f t="shared" si="6"/>
        <v>203</v>
      </c>
      <c r="N86" s="415">
        <v>203</v>
      </c>
      <c r="O86" s="415"/>
    </row>
    <row r="87" customFormat="1" ht="20" hidden="1" customHeight="1" spans="1:16">
      <c r="A87" s="418">
        <v>2010802</v>
      </c>
      <c r="B87" s="419" t="s">
        <v>166</v>
      </c>
      <c r="C87" s="464">
        <v>3.409947</v>
      </c>
      <c r="D87" s="461">
        <v>4.41674</v>
      </c>
      <c r="E87" s="463">
        <v>68</v>
      </c>
      <c r="F87" s="457">
        <f>E87/D87*100</f>
        <v>1539.59707838813</v>
      </c>
      <c r="G87" s="458">
        <f t="shared" si="7"/>
        <v>64.590053</v>
      </c>
      <c r="H87" s="457">
        <f>G87/C87*100</f>
        <v>1894.16589172794</v>
      </c>
      <c r="I87" s="462">
        <v>3.969205</v>
      </c>
      <c r="J87" s="459">
        <f t="shared" si="8"/>
        <v>-0.447535</v>
      </c>
      <c r="K87" s="460">
        <f>J87/D87*100</f>
        <v>-10.1326996834769</v>
      </c>
      <c r="M87">
        <f t="shared" si="6"/>
        <v>2</v>
      </c>
      <c r="N87" s="415">
        <v>2</v>
      </c>
      <c r="O87" s="415"/>
    </row>
    <row r="88" customFormat="1" ht="20" hidden="1" customHeight="1" spans="1:16">
      <c r="A88" s="418">
        <v>2010803</v>
      </c>
      <c r="B88" s="419" t="s">
        <v>167</v>
      </c>
      <c r="C88" s="464">
        <v>0</v>
      </c>
      <c r="D88" s="461"/>
      <c r="E88" s="464"/>
      <c r="F88" s="457"/>
      <c r="G88" s="458">
        <f t="shared" si="7"/>
        <v>0</v>
      </c>
      <c r="H88" s="457"/>
      <c r="I88" s="461"/>
      <c r="J88" s="459">
        <f t="shared" si="8"/>
        <v>0</v>
      </c>
      <c r="K88" s="460"/>
      <c r="M88">
        <f t="shared" si="6"/>
        <v>0</v>
      </c>
      <c r="N88" s="415"/>
      <c r="O88" s="415"/>
    </row>
    <row r="89" customFormat="1" ht="20" hidden="1" customHeight="1" spans="1:16">
      <c r="A89" s="418">
        <v>2010804</v>
      </c>
      <c r="B89" s="421" t="s">
        <v>219</v>
      </c>
      <c r="C89" s="464">
        <v>0</v>
      </c>
      <c r="D89" s="461"/>
      <c r="E89" s="464"/>
      <c r="F89" s="457"/>
      <c r="G89" s="458">
        <f t="shared" si="7"/>
        <v>0</v>
      </c>
      <c r="H89" s="457"/>
      <c r="I89" s="461"/>
      <c r="J89" s="459">
        <f t="shared" si="8"/>
        <v>0</v>
      </c>
      <c r="K89" s="460"/>
      <c r="M89">
        <f t="shared" si="6"/>
        <v>0</v>
      </c>
      <c r="N89" s="415"/>
      <c r="O89" s="415"/>
    </row>
    <row r="90" customFormat="1" ht="20" hidden="1" customHeight="1" spans="1:16">
      <c r="A90" s="418">
        <v>2010805</v>
      </c>
      <c r="B90" s="421" t="s">
        <v>220</v>
      </c>
      <c r="C90" s="464">
        <v>0</v>
      </c>
      <c r="D90" s="461"/>
      <c r="E90" s="464"/>
      <c r="F90" s="457"/>
      <c r="G90" s="458">
        <f t="shared" si="7"/>
        <v>0</v>
      </c>
      <c r="H90" s="457"/>
      <c r="I90" s="461"/>
      <c r="J90" s="459">
        <f t="shared" si="8"/>
        <v>0</v>
      </c>
      <c r="K90" s="460"/>
      <c r="M90">
        <f t="shared" si="6"/>
        <v>0</v>
      </c>
      <c r="N90" s="415"/>
      <c r="O90" s="415"/>
    </row>
    <row r="91" customFormat="1" ht="20" hidden="1" customHeight="1" spans="1:16">
      <c r="A91" s="418">
        <v>2010806</v>
      </c>
      <c r="B91" s="421" t="s">
        <v>207</v>
      </c>
      <c r="C91" s="464">
        <v>0</v>
      </c>
      <c r="D91" s="461"/>
      <c r="E91" s="464"/>
      <c r="F91" s="457"/>
      <c r="G91" s="458">
        <f t="shared" si="7"/>
        <v>0</v>
      </c>
      <c r="H91" s="457"/>
      <c r="I91" s="461"/>
      <c r="J91" s="459">
        <f t="shared" si="8"/>
        <v>0</v>
      </c>
      <c r="K91" s="460"/>
      <c r="M91">
        <f t="shared" si="6"/>
        <v>0</v>
      </c>
      <c r="N91" s="415"/>
      <c r="O91" s="415"/>
    </row>
    <row r="92" customFormat="1" ht="20" hidden="1" customHeight="1" spans="1:16">
      <c r="A92" s="418">
        <v>2010850</v>
      </c>
      <c r="B92" s="421" t="s">
        <v>174</v>
      </c>
      <c r="C92" s="464">
        <v>0</v>
      </c>
      <c r="D92" s="466">
        <v>30.030896</v>
      </c>
      <c r="E92" s="464"/>
      <c r="F92" s="457">
        <f>E92/D92*100</f>
        <v>0</v>
      </c>
      <c r="G92" s="458">
        <f t="shared" si="7"/>
        <v>0</v>
      </c>
      <c r="H92" s="457"/>
      <c r="I92" s="466"/>
      <c r="J92" s="459">
        <f t="shared" si="8"/>
        <v>-30.030896</v>
      </c>
      <c r="K92" s="460">
        <f>J92/D92*100</f>
        <v>-100</v>
      </c>
      <c r="M92">
        <f t="shared" si="6"/>
        <v>0</v>
      </c>
      <c r="N92" s="415"/>
      <c r="O92" s="415"/>
    </row>
    <row r="93" customFormat="1" ht="20" hidden="1" customHeight="1" spans="1:16">
      <c r="A93" s="418">
        <v>2010899</v>
      </c>
      <c r="B93" s="422" t="s">
        <v>221</v>
      </c>
      <c r="C93" s="464">
        <v>4.694</v>
      </c>
      <c r="D93" s="461">
        <v>5</v>
      </c>
      <c r="E93" s="464"/>
      <c r="F93" s="457">
        <f>E93/D93*100</f>
        <v>0</v>
      </c>
      <c r="G93" s="458">
        <f t="shared" si="7"/>
        <v>-4.694</v>
      </c>
      <c r="H93" s="457">
        <f>G93/C93*100</f>
        <v>-100</v>
      </c>
      <c r="I93" s="461"/>
      <c r="J93" s="459">
        <f t="shared" si="8"/>
        <v>-5</v>
      </c>
      <c r="K93" s="460">
        <f>J93/D93*100</f>
        <v>-100</v>
      </c>
      <c r="M93">
        <f t="shared" si="6"/>
        <v>0</v>
      </c>
      <c r="N93" s="415"/>
      <c r="O93" s="415"/>
      <c r="P93">
        <v>5</v>
      </c>
    </row>
    <row r="94" customFormat="1" ht="20" hidden="1" customHeight="1" spans="1:16">
      <c r="A94" s="416">
        <v>20109</v>
      </c>
      <c r="B94" s="417" t="s">
        <v>222</v>
      </c>
      <c r="C94" s="467"/>
      <c r="D94" s="467"/>
      <c r="E94" s="467">
        <v>0</v>
      </c>
      <c r="F94" s="457"/>
      <c r="G94" s="458">
        <f t="shared" si="7"/>
        <v>0</v>
      </c>
      <c r="H94" s="457"/>
      <c r="I94" s="467"/>
      <c r="J94" s="459">
        <f t="shared" si="8"/>
        <v>0</v>
      </c>
      <c r="K94" s="460"/>
      <c r="M94">
        <f t="shared" si="6"/>
        <v>0</v>
      </c>
      <c r="N94" s="415"/>
      <c r="O94" s="415"/>
    </row>
    <row r="95" customFormat="1" ht="20" hidden="1" customHeight="1" spans="1:16">
      <c r="A95" s="418">
        <v>2010901</v>
      </c>
      <c r="B95" s="419" t="s">
        <v>165</v>
      </c>
      <c r="C95" s="464"/>
      <c r="D95" s="461"/>
      <c r="E95" s="461">
        <v>0</v>
      </c>
      <c r="F95" s="457"/>
      <c r="G95" s="458">
        <f t="shared" si="7"/>
        <v>0</v>
      </c>
      <c r="H95" s="457"/>
      <c r="I95" s="461"/>
      <c r="J95" s="459">
        <f t="shared" si="8"/>
        <v>0</v>
      </c>
      <c r="K95" s="460"/>
      <c r="M95">
        <f t="shared" si="6"/>
        <v>0</v>
      </c>
      <c r="N95" s="415"/>
      <c r="O95" s="415"/>
    </row>
    <row r="96" customFormat="1" ht="20" hidden="1" customHeight="1" spans="1:16">
      <c r="A96" s="418">
        <v>2010902</v>
      </c>
      <c r="B96" s="421" t="s">
        <v>166</v>
      </c>
      <c r="C96" s="464"/>
      <c r="D96" s="461"/>
      <c r="E96" s="461">
        <v>0</v>
      </c>
      <c r="F96" s="457"/>
      <c r="G96" s="458">
        <f t="shared" si="7"/>
        <v>0</v>
      </c>
      <c r="H96" s="457"/>
      <c r="I96" s="461"/>
      <c r="J96" s="459">
        <f t="shared" si="8"/>
        <v>0</v>
      </c>
      <c r="K96" s="460"/>
      <c r="M96">
        <f t="shared" si="6"/>
        <v>0</v>
      </c>
      <c r="N96" s="415"/>
      <c r="O96" s="415"/>
    </row>
    <row r="97" customFormat="1" ht="20" hidden="1" customHeight="1" spans="1:15">
      <c r="A97" s="418">
        <v>2010903</v>
      </c>
      <c r="B97" s="421" t="s">
        <v>167</v>
      </c>
      <c r="C97" s="464"/>
      <c r="D97" s="461"/>
      <c r="E97" s="461">
        <v>0</v>
      </c>
      <c r="F97" s="457"/>
      <c r="G97" s="458">
        <f t="shared" si="7"/>
        <v>0</v>
      </c>
      <c r="H97" s="457"/>
      <c r="I97" s="461"/>
      <c r="J97" s="459">
        <f t="shared" si="8"/>
        <v>0</v>
      </c>
      <c r="K97" s="460"/>
      <c r="M97">
        <f t="shared" si="6"/>
        <v>0</v>
      </c>
      <c r="N97" s="415"/>
      <c r="O97" s="415"/>
    </row>
    <row r="98" customFormat="1" ht="20" hidden="1" customHeight="1" spans="1:15">
      <c r="A98" s="418">
        <v>2010905</v>
      </c>
      <c r="B98" s="419" t="s">
        <v>223</v>
      </c>
      <c r="C98" s="464"/>
      <c r="D98" s="461"/>
      <c r="E98" s="461">
        <v>0</v>
      </c>
      <c r="F98" s="457"/>
      <c r="G98" s="458">
        <f t="shared" si="7"/>
        <v>0</v>
      </c>
      <c r="H98" s="457"/>
      <c r="I98" s="461"/>
      <c r="J98" s="459">
        <f t="shared" si="8"/>
        <v>0</v>
      </c>
      <c r="K98" s="460"/>
      <c r="M98">
        <f t="shared" si="6"/>
        <v>0</v>
      </c>
      <c r="N98" s="415"/>
      <c r="O98" s="415"/>
    </row>
    <row r="99" customFormat="1" ht="20" hidden="1" customHeight="1" spans="1:15">
      <c r="A99" s="418">
        <v>2010907</v>
      </c>
      <c r="B99" s="419" t="s">
        <v>224</v>
      </c>
      <c r="C99" s="464"/>
      <c r="D99" s="461"/>
      <c r="E99" s="461">
        <v>0</v>
      </c>
      <c r="F99" s="457"/>
      <c r="G99" s="458">
        <f t="shared" si="7"/>
        <v>0</v>
      </c>
      <c r="H99" s="457"/>
      <c r="I99" s="461"/>
      <c r="J99" s="459">
        <f t="shared" si="8"/>
        <v>0</v>
      </c>
      <c r="K99" s="460"/>
      <c r="M99">
        <f t="shared" si="6"/>
        <v>0</v>
      </c>
      <c r="N99" s="415"/>
      <c r="O99" s="415"/>
    </row>
    <row r="100" customFormat="1" ht="20" hidden="1" customHeight="1" spans="1:15">
      <c r="A100" s="418">
        <v>2010908</v>
      </c>
      <c r="B100" s="419" t="s">
        <v>207</v>
      </c>
      <c r="C100" s="464"/>
      <c r="D100" s="461"/>
      <c r="E100" s="461">
        <v>0</v>
      </c>
      <c r="F100" s="457"/>
      <c r="G100" s="458">
        <f t="shared" si="7"/>
        <v>0</v>
      </c>
      <c r="H100" s="457"/>
      <c r="I100" s="461"/>
      <c r="J100" s="459">
        <f t="shared" si="8"/>
        <v>0</v>
      </c>
      <c r="K100" s="460"/>
      <c r="M100">
        <f t="shared" ref="M100:M163" si="9">N100+O100</f>
        <v>0</v>
      </c>
      <c r="N100" s="415"/>
      <c r="O100" s="415"/>
    </row>
    <row r="101" customFormat="1" ht="20" hidden="1" customHeight="1" spans="1:15">
      <c r="A101" s="418">
        <v>2010950</v>
      </c>
      <c r="B101" s="421" t="s">
        <v>174</v>
      </c>
      <c r="C101" s="464"/>
      <c r="D101" s="461"/>
      <c r="E101" s="461">
        <v>0</v>
      </c>
      <c r="F101" s="457"/>
      <c r="G101" s="458">
        <f t="shared" si="7"/>
        <v>0</v>
      </c>
      <c r="H101" s="457"/>
      <c r="I101" s="461"/>
      <c r="J101" s="459">
        <f t="shared" si="8"/>
        <v>0</v>
      </c>
      <c r="K101" s="460"/>
      <c r="M101">
        <f t="shared" si="9"/>
        <v>0</v>
      </c>
      <c r="N101" s="415"/>
      <c r="O101" s="415"/>
    </row>
    <row r="102" customFormat="1" ht="20" hidden="1" customHeight="1" spans="1:15">
      <c r="A102" s="418">
        <v>2010999</v>
      </c>
      <c r="B102" s="421" t="s">
        <v>225</v>
      </c>
      <c r="C102" s="464"/>
      <c r="D102" s="461"/>
      <c r="E102" s="461">
        <v>0</v>
      </c>
      <c r="F102" s="457"/>
      <c r="G102" s="458">
        <f t="shared" si="7"/>
        <v>0</v>
      </c>
      <c r="H102" s="457"/>
      <c r="I102" s="461"/>
      <c r="J102" s="459">
        <f t="shared" si="8"/>
        <v>0</v>
      </c>
      <c r="K102" s="460"/>
      <c r="M102">
        <f t="shared" si="9"/>
        <v>0</v>
      </c>
      <c r="N102" s="415"/>
      <c r="O102" s="415"/>
    </row>
    <row r="103" customFormat="1" ht="20" hidden="1" customHeight="1" spans="1:15">
      <c r="A103" s="416">
        <v>20111</v>
      </c>
      <c r="B103" s="427" t="s">
        <v>226</v>
      </c>
      <c r="C103" s="467">
        <f>SUM(C104:C111)</f>
        <v>1404.708222</v>
      </c>
      <c r="D103" s="467">
        <f>SUM(D104:D111)</f>
        <v>1443.295014</v>
      </c>
      <c r="E103" s="467">
        <f>SUM(E104:E111)</f>
        <v>1530</v>
      </c>
      <c r="F103" s="457">
        <f>E103/D103*100</f>
        <v>106.007433349312</v>
      </c>
      <c r="G103" s="458">
        <f t="shared" si="7"/>
        <v>125.291778</v>
      </c>
      <c r="H103" s="457">
        <f>G103/C103*100</f>
        <v>8.91941657617777</v>
      </c>
      <c r="I103" s="467">
        <f>SUM(I104:I111)</f>
        <v>1400.709759</v>
      </c>
      <c r="J103" s="459">
        <f t="shared" si="8"/>
        <v>-42.585255</v>
      </c>
      <c r="K103" s="460">
        <f>J103/D103*100</f>
        <v>-2.95055789612809</v>
      </c>
      <c r="M103">
        <f t="shared" si="9"/>
        <v>0</v>
      </c>
      <c r="N103" s="415"/>
      <c r="O103" s="415"/>
    </row>
    <row r="104" customFormat="1" ht="20" hidden="1" customHeight="1" spans="1:15">
      <c r="A104" s="418">
        <v>2011101</v>
      </c>
      <c r="B104" s="419" t="s">
        <v>165</v>
      </c>
      <c r="C104" s="464">
        <v>1214.385421</v>
      </c>
      <c r="D104" s="466">
        <v>1228.620864</v>
      </c>
      <c r="E104" s="463">
        <v>1264</v>
      </c>
      <c r="F104" s="457">
        <f>E104/D104*100</f>
        <v>102.879581247287</v>
      </c>
      <c r="G104" s="458">
        <f t="shared" si="7"/>
        <v>49.614579</v>
      </c>
      <c r="H104" s="457">
        <f>G104/C104*100</f>
        <v>4.0855710338769</v>
      </c>
      <c r="I104" s="462">
        <v>1187.23182</v>
      </c>
      <c r="J104" s="459">
        <f t="shared" si="8"/>
        <v>-41.389044</v>
      </c>
      <c r="K104" s="460">
        <f>J104/D104*100</f>
        <v>-3.3687401225835</v>
      </c>
      <c r="M104">
        <f t="shared" si="9"/>
        <v>1195</v>
      </c>
      <c r="N104" s="415">
        <v>1195</v>
      </c>
      <c r="O104" s="415"/>
    </row>
    <row r="105" customFormat="1" ht="20" hidden="1" customHeight="1" spans="1:15">
      <c r="A105" s="418">
        <v>2011102</v>
      </c>
      <c r="B105" s="419" t="s">
        <v>166</v>
      </c>
      <c r="C105" s="464">
        <v>174.322801</v>
      </c>
      <c r="D105" s="466">
        <v>214.67415</v>
      </c>
      <c r="E105" s="463">
        <v>224</v>
      </c>
      <c r="F105" s="457">
        <f>E105/D105*100</f>
        <v>104.344188622617</v>
      </c>
      <c r="G105" s="458">
        <f t="shared" si="7"/>
        <v>49.677199</v>
      </c>
      <c r="H105" s="457">
        <f>G105/C105*100</f>
        <v>28.4972468977251</v>
      </c>
      <c r="I105" s="462">
        <v>193.477939</v>
      </c>
      <c r="J105" s="459">
        <f t="shared" si="8"/>
        <v>-21.196211</v>
      </c>
      <c r="K105" s="460">
        <f>J105/D105*100</f>
        <v>-9.87366713691425</v>
      </c>
      <c r="M105">
        <f t="shared" si="9"/>
        <v>210</v>
      </c>
      <c r="N105" s="415">
        <v>210</v>
      </c>
      <c r="O105" s="415"/>
    </row>
    <row r="106" customFormat="1" ht="20" hidden="1" customHeight="1" spans="1:15">
      <c r="A106" s="418">
        <v>2011103</v>
      </c>
      <c r="B106" s="419" t="s">
        <v>167</v>
      </c>
      <c r="C106" s="464">
        <v>0</v>
      </c>
      <c r="D106" s="461"/>
      <c r="E106" s="463"/>
      <c r="F106" s="457"/>
      <c r="G106" s="458">
        <f t="shared" si="7"/>
        <v>0</v>
      </c>
      <c r="H106" s="457"/>
      <c r="I106" s="461"/>
      <c r="J106" s="459">
        <f t="shared" si="8"/>
        <v>0</v>
      </c>
      <c r="K106" s="460"/>
      <c r="M106">
        <f t="shared" si="9"/>
        <v>0</v>
      </c>
      <c r="N106" s="415"/>
      <c r="O106" s="415"/>
    </row>
    <row r="107" customFormat="1" ht="20" hidden="1" customHeight="1" spans="1:15">
      <c r="A107" s="418">
        <v>2011104</v>
      </c>
      <c r="B107" s="421" t="s">
        <v>227</v>
      </c>
      <c r="C107" s="461">
        <v>0</v>
      </c>
      <c r="D107" s="461"/>
      <c r="E107" s="463">
        <v>42</v>
      </c>
      <c r="F107" s="457"/>
      <c r="G107" s="458">
        <f t="shared" si="7"/>
        <v>42</v>
      </c>
      <c r="H107" s="457"/>
      <c r="I107" s="461">
        <v>20</v>
      </c>
      <c r="J107" s="459">
        <f t="shared" si="8"/>
        <v>20</v>
      </c>
      <c r="K107" s="460"/>
      <c r="M107">
        <f t="shared" si="9"/>
        <v>0</v>
      </c>
      <c r="N107" s="415"/>
      <c r="O107" s="415"/>
    </row>
    <row r="108" customFormat="1" ht="20" hidden="1" customHeight="1" spans="1:15">
      <c r="A108" s="418">
        <v>2011105</v>
      </c>
      <c r="B108" s="421" t="s">
        <v>228</v>
      </c>
      <c r="C108" s="464">
        <v>0</v>
      </c>
      <c r="D108" s="461"/>
      <c r="E108" s="463"/>
      <c r="F108" s="457"/>
      <c r="G108" s="458">
        <f t="shared" si="7"/>
        <v>0</v>
      </c>
      <c r="H108" s="457"/>
      <c r="I108" s="461"/>
      <c r="J108" s="459">
        <f t="shared" si="8"/>
        <v>0</v>
      </c>
      <c r="K108" s="460"/>
      <c r="M108">
        <f t="shared" si="9"/>
        <v>0</v>
      </c>
      <c r="N108" s="415"/>
      <c r="O108" s="415"/>
    </row>
    <row r="109" customFormat="1" ht="20" hidden="1" customHeight="1" spans="1:15">
      <c r="A109" s="418">
        <v>2011106</v>
      </c>
      <c r="B109" s="421" t="s">
        <v>229</v>
      </c>
      <c r="C109" s="464">
        <v>0</v>
      </c>
      <c r="D109" s="461"/>
      <c r="E109" s="463"/>
      <c r="F109" s="457"/>
      <c r="G109" s="458">
        <f t="shared" si="7"/>
        <v>0</v>
      </c>
      <c r="H109" s="457"/>
      <c r="I109" s="461"/>
      <c r="J109" s="459">
        <f t="shared" si="8"/>
        <v>0</v>
      </c>
      <c r="K109" s="460"/>
      <c r="M109">
        <f t="shared" si="9"/>
        <v>0</v>
      </c>
      <c r="N109" s="415"/>
      <c r="O109" s="415"/>
    </row>
    <row r="110" customFormat="1" ht="20" hidden="1" customHeight="1" spans="1:15">
      <c r="A110" s="418">
        <v>2011150</v>
      </c>
      <c r="B110" s="419" t="s">
        <v>174</v>
      </c>
      <c r="C110" s="464">
        <v>0</v>
      </c>
      <c r="D110" s="461"/>
      <c r="E110" s="463"/>
      <c r="F110" s="457"/>
      <c r="G110" s="458">
        <f t="shared" si="7"/>
        <v>0</v>
      </c>
      <c r="H110" s="457"/>
      <c r="I110" s="461"/>
      <c r="J110" s="459">
        <f t="shared" si="8"/>
        <v>0</v>
      </c>
      <c r="K110" s="460"/>
      <c r="M110">
        <f t="shared" si="9"/>
        <v>0</v>
      </c>
      <c r="N110" s="415"/>
      <c r="O110" s="415"/>
    </row>
    <row r="111" customFormat="1" ht="20" hidden="1" customHeight="1" spans="1:15">
      <c r="A111" s="418">
        <v>2011199</v>
      </c>
      <c r="B111" s="419" t="s">
        <v>230</v>
      </c>
      <c r="C111" s="464">
        <v>16</v>
      </c>
      <c r="D111" s="461"/>
      <c r="E111" s="463"/>
      <c r="F111" s="457"/>
      <c r="G111" s="458">
        <f t="shared" si="7"/>
        <v>-16</v>
      </c>
      <c r="H111" s="457">
        <f>G111/C111*100</f>
        <v>-100</v>
      </c>
      <c r="I111" s="461"/>
      <c r="J111" s="459">
        <f t="shared" si="8"/>
        <v>0</v>
      </c>
      <c r="K111" s="460"/>
      <c r="M111">
        <f t="shared" si="9"/>
        <v>0</v>
      </c>
      <c r="N111" s="415"/>
      <c r="O111" s="415"/>
    </row>
    <row r="112" customFormat="1" ht="20" hidden="1" customHeight="1" spans="1:15">
      <c r="A112" s="416">
        <v>20113</v>
      </c>
      <c r="B112" s="427" t="s">
        <v>231</v>
      </c>
      <c r="C112" s="467"/>
      <c r="D112" s="467"/>
      <c r="E112" s="467">
        <v>0</v>
      </c>
      <c r="F112" s="457"/>
      <c r="G112" s="458">
        <f t="shared" si="7"/>
        <v>0</v>
      </c>
      <c r="H112" s="457"/>
      <c r="I112" s="467">
        <f>SUM(I113:I122)</f>
        <v>21.703308</v>
      </c>
      <c r="J112" s="459">
        <f t="shared" si="8"/>
        <v>21.703308</v>
      </c>
      <c r="K112" s="460"/>
      <c r="M112">
        <f t="shared" si="9"/>
        <v>0</v>
      </c>
      <c r="N112" s="415"/>
      <c r="O112" s="415"/>
    </row>
    <row r="113" customFormat="1" ht="20" hidden="1" customHeight="1" spans="1:15">
      <c r="A113" s="418">
        <v>2011301</v>
      </c>
      <c r="B113" s="419" t="s">
        <v>165</v>
      </c>
      <c r="C113" s="464"/>
      <c r="D113" s="461"/>
      <c r="E113" s="464">
        <v>0</v>
      </c>
      <c r="F113" s="457"/>
      <c r="G113" s="458">
        <f t="shared" si="7"/>
        <v>0</v>
      </c>
      <c r="H113" s="457"/>
      <c r="I113" s="462">
        <v>21.703308</v>
      </c>
      <c r="J113" s="459">
        <f t="shared" si="8"/>
        <v>21.703308</v>
      </c>
      <c r="K113" s="460"/>
      <c r="M113">
        <f t="shared" si="9"/>
        <v>0</v>
      </c>
      <c r="N113" s="415"/>
      <c r="O113" s="415"/>
    </row>
    <row r="114" customFormat="1" ht="20" hidden="1" customHeight="1" spans="1:15">
      <c r="A114" s="418">
        <v>2011302</v>
      </c>
      <c r="B114" s="419" t="s">
        <v>166</v>
      </c>
      <c r="C114" s="464"/>
      <c r="D114" s="461"/>
      <c r="E114" s="464">
        <v>0</v>
      </c>
      <c r="F114" s="457"/>
      <c r="G114" s="458">
        <f t="shared" si="7"/>
        <v>0</v>
      </c>
      <c r="H114" s="457"/>
      <c r="I114" s="461"/>
      <c r="J114" s="459">
        <f t="shared" si="8"/>
        <v>0</v>
      </c>
      <c r="K114" s="460"/>
      <c r="M114">
        <f t="shared" si="9"/>
        <v>0</v>
      </c>
      <c r="N114" s="415"/>
      <c r="O114" s="415"/>
    </row>
    <row r="115" customFormat="1" ht="20" hidden="1" customHeight="1" spans="1:15">
      <c r="A115" s="418">
        <v>2011303</v>
      </c>
      <c r="B115" s="419" t="s">
        <v>167</v>
      </c>
      <c r="C115" s="464"/>
      <c r="D115" s="461"/>
      <c r="E115" s="464">
        <v>0</v>
      </c>
      <c r="F115" s="457"/>
      <c r="G115" s="458">
        <f t="shared" si="7"/>
        <v>0</v>
      </c>
      <c r="H115" s="457"/>
      <c r="I115" s="461"/>
      <c r="J115" s="459">
        <f t="shared" si="8"/>
        <v>0</v>
      </c>
      <c r="K115" s="460"/>
      <c r="M115">
        <f t="shared" si="9"/>
        <v>0</v>
      </c>
      <c r="N115" s="415"/>
      <c r="O115" s="415"/>
    </row>
    <row r="116" customFormat="1" ht="20" hidden="1" customHeight="1" spans="1:15">
      <c r="A116" s="418">
        <v>2011304</v>
      </c>
      <c r="B116" s="421" t="s">
        <v>232</v>
      </c>
      <c r="C116" s="464"/>
      <c r="D116" s="461"/>
      <c r="E116" s="464">
        <v>0</v>
      </c>
      <c r="F116" s="457"/>
      <c r="G116" s="458">
        <f t="shared" si="7"/>
        <v>0</v>
      </c>
      <c r="H116" s="457"/>
      <c r="I116" s="461"/>
      <c r="J116" s="459">
        <f t="shared" si="8"/>
        <v>0</v>
      </c>
      <c r="K116" s="460"/>
      <c r="M116">
        <f t="shared" si="9"/>
        <v>0</v>
      </c>
      <c r="N116" s="415"/>
      <c r="O116" s="415"/>
    </row>
    <row r="117" customFormat="1" ht="20" hidden="1" customHeight="1" spans="1:15">
      <c r="A117" s="418">
        <v>2011305</v>
      </c>
      <c r="B117" s="421" t="s">
        <v>233</v>
      </c>
      <c r="C117" s="464"/>
      <c r="D117" s="461"/>
      <c r="E117" s="464">
        <v>0</v>
      </c>
      <c r="F117" s="457"/>
      <c r="G117" s="458">
        <f t="shared" si="7"/>
        <v>0</v>
      </c>
      <c r="H117" s="457"/>
      <c r="I117" s="461"/>
      <c r="J117" s="459">
        <f t="shared" si="8"/>
        <v>0</v>
      </c>
      <c r="K117" s="460"/>
      <c r="M117">
        <f t="shared" si="9"/>
        <v>0</v>
      </c>
      <c r="N117" s="415"/>
      <c r="O117" s="415"/>
    </row>
    <row r="118" customFormat="1" ht="20" hidden="1" customHeight="1" spans="1:15">
      <c r="A118" s="418">
        <v>2011306</v>
      </c>
      <c r="B118" s="421" t="s">
        <v>234</v>
      </c>
      <c r="C118" s="464"/>
      <c r="D118" s="461"/>
      <c r="E118" s="464">
        <v>0</v>
      </c>
      <c r="F118" s="457"/>
      <c r="G118" s="458">
        <f t="shared" si="7"/>
        <v>0</v>
      </c>
      <c r="H118" s="457"/>
      <c r="I118" s="461"/>
      <c r="J118" s="459">
        <f t="shared" si="8"/>
        <v>0</v>
      </c>
      <c r="K118" s="460"/>
      <c r="M118">
        <f t="shared" si="9"/>
        <v>0</v>
      </c>
      <c r="N118" s="415"/>
      <c r="O118" s="415"/>
    </row>
    <row r="119" customFormat="1" ht="20" hidden="1" customHeight="1" spans="1:15">
      <c r="A119" s="418">
        <v>2011307</v>
      </c>
      <c r="B119" s="419" t="s">
        <v>235</v>
      </c>
      <c r="C119" s="464"/>
      <c r="D119" s="461"/>
      <c r="E119" s="464">
        <v>0</v>
      </c>
      <c r="F119" s="457"/>
      <c r="G119" s="458">
        <f t="shared" si="7"/>
        <v>0</v>
      </c>
      <c r="H119" s="457"/>
      <c r="I119" s="461"/>
      <c r="J119" s="459">
        <f t="shared" si="8"/>
        <v>0</v>
      </c>
      <c r="K119" s="460"/>
      <c r="M119">
        <f t="shared" si="9"/>
        <v>0</v>
      </c>
      <c r="N119" s="415"/>
      <c r="O119" s="415"/>
    </row>
    <row r="120" customFormat="1" ht="20" hidden="1" customHeight="1" spans="1:15">
      <c r="A120" s="418">
        <v>2011308</v>
      </c>
      <c r="B120" s="419" t="s">
        <v>236</v>
      </c>
      <c r="C120" s="464"/>
      <c r="D120" s="461"/>
      <c r="E120" s="464">
        <v>0</v>
      </c>
      <c r="F120" s="457"/>
      <c r="G120" s="458">
        <f t="shared" si="7"/>
        <v>0</v>
      </c>
      <c r="H120" s="457"/>
      <c r="I120" s="461"/>
      <c r="J120" s="459">
        <f t="shared" si="8"/>
        <v>0</v>
      </c>
      <c r="K120" s="460"/>
      <c r="M120">
        <f t="shared" si="9"/>
        <v>0</v>
      </c>
      <c r="N120" s="415"/>
      <c r="O120" s="415"/>
    </row>
    <row r="121" customFormat="1" ht="20" hidden="1" customHeight="1" spans="1:15">
      <c r="A121" s="418">
        <v>2011350</v>
      </c>
      <c r="B121" s="419" t="s">
        <v>174</v>
      </c>
      <c r="C121" s="464"/>
      <c r="D121" s="461"/>
      <c r="E121" s="464">
        <v>0</v>
      </c>
      <c r="F121" s="457"/>
      <c r="G121" s="458">
        <f t="shared" si="7"/>
        <v>0</v>
      </c>
      <c r="H121" s="457"/>
      <c r="I121" s="461"/>
      <c r="J121" s="459">
        <f t="shared" si="8"/>
        <v>0</v>
      </c>
      <c r="K121" s="460"/>
      <c r="M121">
        <f t="shared" si="9"/>
        <v>0</v>
      </c>
      <c r="N121" s="415"/>
      <c r="O121" s="415"/>
    </row>
    <row r="122" customFormat="1" ht="20" hidden="1" customHeight="1" spans="1:15">
      <c r="A122" s="418">
        <v>2011399</v>
      </c>
      <c r="B122" s="421" t="s">
        <v>237</v>
      </c>
      <c r="C122" s="464"/>
      <c r="D122" s="461"/>
      <c r="E122" s="464">
        <v>0</v>
      </c>
      <c r="F122" s="457"/>
      <c r="G122" s="458">
        <f t="shared" si="7"/>
        <v>0</v>
      </c>
      <c r="H122" s="457"/>
      <c r="I122" s="461"/>
      <c r="J122" s="459">
        <f t="shared" si="8"/>
        <v>0</v>
      </c>
      <c r="K122" s="460"/>
      <c r="M122">
        <f t="shared" si="9"/>
        <v>0</v>
      </c>
      <c r="N122" s="415"/>
      <c r="O122" s="415"/>
    </row>
    <row r="123" customFormat="1" ht="20" hidden="1" customHeight="1" spans="1:15">
      <c r="A123" s="416">
        <v>20114</v>
      </c>
      <c r="B123" s="426" t="s">
        <v>238</v>
      </c>
      <c r="C123" s="467"/>
      <c r="D123" s="467"/>
      <c r="E123" s="467">
        <v>0</v>
      </c>
      <c r="F123" s="457"/>
      <c r="G123" s="458">
        <f t="shared" si="7"/>
        <v>0</v>
      </c>
      <c r="H123" s="457"/>
      <c r="I123" s="467"/>
      <c r="J123" s="459">
        <f t="shared" si="8"/>
        <v>0</v>
      </c>
      <c r="K123" s="460"/>
      <c r="M123">
        <f t="shared" si="9"/>
        <v>0</v>
      </c>
      <c r="N123" s="415"/>
      <c r="O123" s="415"/>
    </row>
    <row r="124" customFormat="1" ht="20" hidden="1" customHeight="1" spans="1:15">
      <c r="A124" s="418">
        <v>2011401</v>
      </c>
      <c r="B124" s="421" t="s">
        <v>165</v>
      </c>
      <c r="C124" s="464"/>
      <c r="D124" s="461"/>
      <c r="E124" s="461">
        <v>0</v>
      </c>
      <c r="F124" s="457"/>
      <c r="G124" s="458">
        <f t="shared" si="7"/>
        <v>0</v>
      </c>
      <c r="H124" s="457"/>
      <c r="I124" s="461"/>
      <c r="J124" s="459">
        <f t="shared" si="8"/>
        <v>0</v>
      </c>
      <c r="K124" s="460"/>
      <c r="M124">
        <f t="shared" si="9"/>
        <v>0</v>
      </c>
      <c r="N124" s="415"/>
      <c r="O124" s="415"/>
    </row>
    <row r="125" customFormat="1" ht="20" hidden="1" customHeight="1" spans="1:15">
      <c r="A125" s="418">
        <v>2011402</v>
      </c>
      <c r="B125" s="422" t="s">
        <v>166</v>
      </c>
      <c r="C125" s="464"/>
      <c r="D125" s="461"/>
      <c r="E125" s="461">
        <v>0</v>
      </c>
      <c r="F125" s="457"/>
      <c r="G125" s="458">
        <f t="shared" si="7"/>
        <v>0</v>
      </c>
      <c r="H125" s="457"/>
      <c r="I125" s="461"/>
      <c r="J125" s="459">
        <f t="shared" si="8"/>
        <v>0</v>
      </c>
      <c r="K125" s="460"/>
      <c r="M125">
        <f t="shared" si="9"/>
        <v>0</v>
      </c>
      <c r="N125" s="415"/>
      <c r="O125" s="415"/>
    </row>
    <row r="126" customFormat="1" ht="20" hidden="1" customHeight="1" spans="1:15">
      <c r="A126" s="418">
        <v>2011403</v>
      </c>
      <c r="B126" s="419" t="s">
        <v>167</v>
      </c>
      <c r="C126" s="464"/>
      <c r="D126" s="461"/>
      <c r="E126" s="461">
        <v>0</v>
      </c>
      <c r="F126" s="457"/>
      <c r="G126" s="458">
        <f t="shared" si="7"/>
        <v>0</v>
      </c>
      <c r="H126" s="457"/>
      <c r="I126" s="461"/>
      <c r="J126" s="459">
        <f t="shared" si="8"/>
        <v>0</v>
      </c>
      <c r="K126" s="460"/>
      <c r="M126">
        <f t="shared" si="9"/>
        <v>0</v>
      </c>
      <c r="N126" s="415"/>
      <c r="O126" s="415"/>
    </row>
    <row r="127" customFormat="1" ht="20" hidden="1" customHeight="1" spans="1:15">
      <c r="A127" s="418">
        <v>2011404</v>
      </c>
      <c r="B127" s="419" t="s">
        <v>239</v>
      </c>
      <c r="C127" s="464"/>
      <c r="D127" s="461"/>
      <c r="E127" s="461">
        <v>0</v>
      </c>
      <c r="F127" s="457"/>
      <c r="G127" s="458">
        <f t="shared" si="7"/>
        <v>0</v>
      </c>
      <c r="H127" s="457"/>
      <c r="I127" s="461"/>
      <c r="J127" s="459">
        <f t="shared" si="8"/>
        <v>0</v>
      </c>
      <c r="K127" s="460"/>
      <c r="M127">
        <f t="shared" si="9"/>
        <v>0</v>
      </c>
      <c r="N127" s="415"/>
      <c r="O127" s="415"/>
    </row>
    <row r="128" customFormat="1" ht="20" hidden="1" customHeight="1" spans="1:15">
      <c r="A128" s="418">
        <v>2011405</v>
      </c>
      <c r="B128" s="419" t="s">
        <v>240</v>
      </c>
      <c r="C128" s="464"/>
      <c r="D128" s="461"/>
      <c r="E128" s="461">
        <v>0</v>
      </c>
      <c r="F128" s="457"/>
      <c r="G128" s="458">
        <f t="shared" si="7"/>
        <v>0</v>
      </c>
      <c r="H128" s="457"/>
      <c r="I128" s="461"/>
      <c r="J128" s="459">
        <f t="shared" si="8"/>
        <v>0</v>
      </c>
      <c r="K128" s="460"/>
      <c r="M128">
        <f t="shared" si="9"/>
        <v>0</v>
      </c>
      <c r="N128" s="415"/>
      <c r="O128" s="415"/>
    </row>
    <row r="129" customFormat="1" ht="20" hidden="1" customHeight="1" spans="1:15">
      <c r="A129" s="418">
        <v>2011408</v>
      </c>
      <c r="B129" s="421" t="s">
        <v>241</v>
      </c>
      <c r="C129" s="464"/>
      <c r="D129" s="461"/>
      <c r="E129" s="461">
        <v>0</v>
      </c>
      <c r="F129" s="457"/>
      <c r="G129" s="458">
        <f t="shared" si="7"/>
        <v>0</v>
      </c>
      <c r="H129" s="457"/>
      <c r="I129" s="461"/>
      <c r="J129" s="459">
        <f t="shared" si="8"/>
        <v>0</v>
      </c>
      <c r="K129" s="460"/>
      <c r="M129">
        <f t="shared" si="9"/>
        <v>0</v>
      </c>
      <c r="N129" s="415"/>
      <c r="O129" s="415"/>
    </row>
    <row r="130" customFormat="1" ht="20" hidden="1" customHeight="1" spans="1:15">
      <c r="A130" s="418">
        <v>2011409</v>
      </c>
      <c r="B130" s="419" t="s">
        <v>242</v>
      </c>
      <c r="C130" s="464"/>
      <c r="D130" s="461"/>
      <c r="E130" s="461">
        <v>0</v>
      </c>
      <c r="F130" s="457"/>
      <c r="G130" s="458">
        <f t="shared" si="7"/>
        <v>0</v>
      </c>
      <c r="H130" s="457"/>
      <c r="I130" s="461"/>
      <c r="J130" s="459">
        <f t="shared" si="8"/>
        <v>0</v>
      </c>
      <c r="K130" s="460"/>
      <c r="M130">
        <f t="shared" si="9"/>
        <v>0</v>
      </c>
      <c r="N130" s="415"/>
      <c r="O130" s="415"/>
    </row>
    <row r="131" customFormat="1" ht="20" hidden="1" customHeight="1" spans="1:15">
      <c r="A131" s="418">
        <v>2011410</v>
      </c>
      <c r="B131" s="421" t="s">
        <v>243</v>
      </c>
      <c r="C131" s="464"/>
      <c r="D131" s="461"/>
      <c r="E131" s="461">
        <v>0</v>
      </c>
      <c r="F131" s="457"/>
      <c r="G131" s="458">
        <f t="shared" si="7"/>
        <v>0</v>
      </c>
      <c r="H131" s="457"/>
      <c r="I131" s="461"/>
      <c r="J131" s="459">
        <f t="shared" si="8"/>
        <v>0</v>
      </c>
      <c r="K131" s="460"/>
      <c r="M131">
        <f t="shared" si="9"/>
        <v>0</v>
      </c>
      <c r="N131" s="415"/>
      <c r="O131" s="415"/>
    </row>
    <row r="132" customFormat="1" ht="20" hidden="1" customHeight="1" spans="1:15">
      <c r="A132" s="418">
        <v>2011411</v>
      </c>
      <c r="B132" s="419" t="s">
        <v>244</v>
      </c>
      <c r="C132" s="464"/>
      <c r="D132" s="461"/>
      <c r="E132" s="461">
        <v>0</v>
      </c>
      <c r="F132" s="457"/>
      <c r="G132" s="458">
        <f t="shared" si="7"/>
        <v>0</v>
      </c>
      <c r="H132" s="457"/>
      <c r="I132" s="461"/>
      <c r="J132" s="459">
        <f t="shared" si="8"/>
        <v>0</v>
      </c>
      <c r="K132" s="460"/>
      <c r="M132">
        <f t="shared" si="9"/>
        <v>0</v>
      </c>
      <c r="N132" s="415"/>
      <c r="O132" s="415"/>
    </row>
    <row r="133" customFormat="1" ht="20" hidden="1" customHeight="1" spans="1:15">
      <c r="A133" s="418">
        <v>2011450</v>
      </c>
      <c r="B133" s="419" t="s">
        <v>174</v>
      </c>
      <c r="C133" s="464"/>
      <c r="D133" s="461"/>
      <c r="E133" s="461">
        <v>0</v>
      </c>
      <c r="F133" s="457"/>
      <c r="G133" s="458">
        <f t="shared" si="7"/>
        <v>0</v>
      </c>
      <c r="H133" s="457"/>
      <c r="I133" s="461"/>
      <c r="J133" s="459">
        <f t="shared" si="8"/>
        <v>0</v>
      </c>
      <c r="K133" s="460"/>
      <c r="M133">
        <f t="shared" si="9"/>
        <v>0</v>
      </c>
      <c r="N133" s="415"/>
      <c r="O133" s="415"/>
    </row>
    <row r="134" customFormat="1" ht="20" hidden="1" customHeight="1" spans="1:15">
      <c r="A134" s="418">
        <v>2011499</v>
      </c>
      <c r="B134" s="419" t="s">
        <v>245</v>
      </c>
      <c r="C134" s="464"/>
      <c r="D134" s="461"/>
      <c r="E134" s="461">
        <v>0</v>
      </c>
      <c r="F134" s="457"/>
      <c r="G134" s="458">
        <f t="shared" si="7"/>
        <v>0</v>
      </c>
      <c r="H134" s="457"/>
      <c r="I134" s="461"/>
      <c r="J134" s="459">
        <f t="shared" si="8"/>
        <v>0</v>
      </c>
      <c r="K134" s="460"/>
      <c r="M134">
        <f t="shared" si="9"/>
        <v>0</v>
      </c>
      <c r="N134" s="415"/>
      <c r="O134" s="415"/>
    </row>
    <row r="135" customFormat="1" ht="20" hidden="1" customHeight="1" spans="1:15">
      <c r="A135" s="416">
        <v>20123</v>
      </c>
      <c r="B135" s="417" t="s">
        <v>246</v>
      </c>
      <c r="C135" s="465">
        <f>SUM(C136:C141)</f>
        <v>0</v>
      </c>
      <c r="D135" s="465">
        <f>SUM(D136:D141)</f>
        <v>0</v>
      </c>
      <c r="E135" s="465">
        <f>SUM(E136:E141)</f>
        <v>3</v>
      </c>
      <c r="F135" s="457"/>
      <c r="G135" s="458">
        <f t="shared" ref="G135:G198" si="10">E135-C135</f>
        <v>3</v>
      </c>
      <c r="H135" s="457"/>
      <c r="I135" s="465">
        <f>SUM(I136:I141)</f>
        <v>0</v>
      </c>
      <c r="J135" s="459">
        <f t="shared" ref="J135:J198" si="11">I135-D135</f>
        <v>0</v>
      </c>
      <c r="K135" s="460"/>
      <c r="M135">
        <f t="shared" si="9"/>
        <v>0</v>
      </c>
      <c r="N135" s="415"/>
      <c r="O135" s="415"/>
    </row>
    <row r="136" customFormat="1" ht="20" hidden="1" customHeight="1" spans="1:15">
      <c r="A136" s="418">
        <v>2012301</v>
      </c>
      <c r="B136" s="419" t="s">
        <v>165</v>
      </c>
      <c r="C136" s="464">
        <v>0</v>
      </c>
      <c r="D136" s="461"/>
      <c r="E136" s="464"/>
      <c r="F136" s="457"/>
      <c r="G136" s="458">
        <f t="shared" si="10"/>
        <v>0</v>
      </c>
      <c r="H136" s="457"/>
      <c r="I136" s="461"/>
      <c r="J136" s="459">
        <f t="shared" si="11"/>
        <v>0</v>
      </c>
      <c r="K136" s="460"/>
      <c r="M136">
        <f t="shared" si="9"/>
        <v>0</v>
      </c>
      <c r="N136" s="415"/>
      <c r="O136" s="415"/>
    </row>
    <row r="137" customFormat="1" ht="20" hidden="1" customHeight="1" spans="1:15">
      <c r="A137" s="418">
        <v>2012302</v>
      </c>
      <c r="B137" s="419" t="s">
        <v>166</v>
      </c>
      <c r="C137" s="464">
        <v>0</v>
      </c>
      <c r="D137" s="461"/>
      <c r="E137" s="464"/>
      <c r="F137" s="457"/>
      <c r="G137" s="458">
        <f t="shared" si="10"/>
        <v>0</v>
      </c>
      <c r="H137" s="457"/>
      <c r="I137" s="461"/>
      <c r="J137" s="459">
        <f t="shared" si="11"/>
        <v>0</v>
      </c>
      <c r="K137" s="460"/>
      <c r="M137">
        <f t="shared" si="9"/>
        <v>0</v>
      </c>
      <c r="N137" s="415"/>
      <c r="O137" s="415"/>
    </row>
    <row r="138" customFormat="1" ht="20" hidden="1" customHeight="1" spans="1:15">
      <c r="A138" s="418">
        <v>2012303</v>
      </c>
      <c r="B138" s="421" t="s">
        <v>167</v>
      </c>
      <c r="C138" s="464">
        <v>0</v>
      </c>
      <c r="D138" s="461"/>
      <c r="E138" s="464"/>
      <c r="F138" s="457"/>
      <c r="G138" s="458">
        <f t="shared" si="10"/>
        <v>0</v>
      </c>
      <c r="H138" s="457"/>
      <c r="I138" s="461"/>
      <c r="J138" s="459">
        <f t="shared" si="11"/>
        <v>0</v>
      </c>
      <c r="K138" s="460"/>
      <c r="M138">
        <f t="shared" si="9"/>
        <v>0</v>
      </c>
      <c r="N138" s="415"/>
      <c r="O138" s="415"/>
    </row>
    <row r="139" customFormat="1" ht="20" hidden="1" customHeight="1" spans="1:15">
      <c r="A139" s="418">
        <v>2012304</v>
      </c>
      <c r="B139" s="421" t="s">
        <v>247</v>
      </c>
      <c r="C139" s="464">
        <v>0</v>
      </c>
      <c r="D139" s="461"/>
      <c r="E139" s="464"/>
      <c r="F139" s="457"/>
      <c r="G139" s="458">
        <f t="shared" si="10"/>
        <v>0</v>
      </c>
      <c r="H139" s="457"/>
      <c r="I139" s="461"/>
      <c r="J139" s="459">
        <f t="shared" si="11"/>
        <v>0</v>
      </c>
      <c r="K139" s="460"/>
      <c r="M139">
        <f t="shared" si="9"/>
        <v>0</v>
      </c>
      <c r="N139" s="415"/>
      <c r="O139" s="415"/>
    </row>
    <row r="140" customFormat="1" ht="20" hidden="1" customHeight="1" spans="1:15">
      <c r="A140" s="418">
        <v>2012350</v>
      </c>
      <c r="B140" s="421" t="s">
        <v>174</v>
      </c>
      <c r="C140" s="464">
        <v>0</v>
      </c>
      <c r="D140" s="461"/>
      <c r="E140" s="464"/>
      <c r="F140" s="457"/>
      <c r="G140" s="458">
        <f t="shared" si="10"/>
        <v>0</v>
      </c>
      <c r="H140" s="457"/>
      <c r="I140" s="461"/>
      <c r="J140" s="459">
        <f t="shared" si="11"/>
        <v>0</v>
      </c>
      <c r="K140" s="460"/>
      <c r="M140">
        <f t="shared" si="9"/>
        <v>0</v>
      </c>
      <c r="N140" s="415"/>
      <c r="O140" s="415"/>
    </row>
    <row r="141" customFormat="1" ht="20" hidden="1" customHeight="1" spans="1:15">
      <c r="A141" s="418">
        <v>2012399</v>
      </c>
      <c r="B141" s="422" t="s">
        <v>248</v>
      </c>
      <c r="C141" s="464">
        <v>0</v>
      </c>
      <c r="D141" s="461"/>
      <c r="E141" s="464">
        <v>3</v>
      </c>
      <c r="F141" s="457"/>
      <c r="G141" s="458">
        <f t="shared" si="10"/>
        <v>3</v>
      </c>
      <c r="H141" s="457"/>
      <c r="I141" s="461"/>
      <c r="J141" s="459">
        <f t="shared" si="11"/>
        <v>0</v>
      </c>
      <c r="K141" s="460"/>
      <c r="M141">
        <f t="shared" si="9"/>
        <v>0</v>
      </c>
      <c r="N141" s="415"/>
      <c r="O141" s="415"/>
    </row>
    <row r="142" customFormat="1" ht="20" hidden="1" customHeight="1" spans="1:15">
      <c r="A142" s="416">
        <v>20125</v>
      </c>
      <c r="B142" s="417" t="s">
        <v>249</v>
      </c>
      <c r="C142" s="456">
        <f>SUM(C143:C149)</f>
        <v>44.297734</v>
      </c>
      <c r="D142" s="456">
        <f>SUM(D143:D149)</f>
        <v>46.08056</v>
      </c>
      <c r="E142" s="456">
        <f>SUM(E143:E149)</f>
        <v>47</v>
      </c>
      <c r="F142" s="457">
        <f>E142/D142*100</f>
        <v>101.995288251705</v>
      </c>
      <c r="G142" s="458">
        <f t="shared" si="10"/>
        <v>2.702266</v>
      </c>
      <c r="H142" s="457">
        <f>G142/C142*100</f>
        <v>6.10023528517283</v>
      </c>
      <c r="I142" s="456">
        <f>SUM(I143:I149)</f>
        <v>45.553241</v>
      </c>
      <c r="J142" s="459">
        <f t="shared" si="11"/>
        <v>-0.527318999999999</v>
      </c>
      <c r="K142" s="460">
        <f>J142/D142*100</f>
        <v>-1.14434156182129</v>
      </c>
      <c r="M142">
        <f t="shared" si="9"/>
        <v>0</v>
      </c>
      <c r="N142" s="415"/>
      <c r="O142" s="415"/>
    </row>
    <row r="143" customFormat="1" ht="20" hidden="1" customHeight="1" spans="1:15">
      <c r="A143" s="418">
        <v>2012501</v>
      </c>
      <c r="B143" s="419" t="s">
        <v>165</v>
      </c>
      <c r="C143" s="464">
        <v>43.597734</v>
      </c>
      <c r="D143" s="466">
        <v>46.08056</v>
      </c>
      <c r="E143" s="463">
        <v>47</v>
      </c>
      <c r="F143" s="457">
        <f>E143/D143*100</f>
        <v>101.995288251705</v>
      </c>
      <c r="G143" s="458">
        <f t="shared" si="10"/>
        <v>3.402266</v>
      </c>
      <c r="H143" s="457">
        <f>G143/C143*100</f>
        <v>7.80376796647275</v>
      </c>
      <c r="I143" s="462">
        <v>45.553241</v>
      </c>
      <c r="J143" s="459">
        <f t="shared" si="11"/>
        <v>-0.527318999999999</v>
      </c>
      <c r="K143" s="460">
        <f>J143/D143*100</f>
        <v>-1.14434156182129</v>
      </c>
      <c r="M143">
        <f t="shared" si="9"/>
        <v>46</v>
      </c>
      <c r="N143" s="415">
        <v>46</v>
      </c>
      <c r="O143" s="415"/>
    </row>
    <row r="144" customFormat="1" ht="20" hidden="1" customHeight="1" spans="1:15">
      <c r="A144" s="418">
        <v>2012502</v>
      </c>
      <c r="B144" s="421" t="s">
        <v>166</v>
      </c>
      <c r="C144" s="464">
        <v>0.7</v>
      </c>
      <c r="D144" s="461"/>
      <c r="E144" s="464"/>
      <c r="F144" s="457"/>
      <c r="G144" s="458">
        <f t="shared" si="10"/>
        <v>-0.7</v>
      </c>
      <c r="H144" s="457">
        <f>G144/C144*100</f>
        <v>-100</v>
      </c>
      <c r="I144" s="461"/>
      <c r="J144" s="459">
        <f t="shared" si="11"/>
        <v>0</v>
      </c>
      <c r="K144" s="460"/>
      <c r="M144">
        <f t="shared" si="9"/>
        <v>0</v>
      </c>
      <c r="N144" s="415"/>
      <c r="O144" s="415"/>
    </row>
    <row r="145" customFormat="1" ht="20" hidden="1" customHeight="1" spans="1:15">
      <c r="A145" s="418">
        <v>2012503</v>
      </c>
      <c r="B145" s="421" t="s">
        <v>167</v>
      </c>
      <c r="C145" s="464">
        <v>0</v>
      </c>
      <c r="D145" s="461"/>
      <c r="E145" s="464"/>
      <c r="F145" s="457"/>
      <c r="G145" s="458">
        <f t="shared" si="10"/>
        <v>0</v>
      </c>
      <c r="H145" s="457"/>
      <c r="I145" s="461"/>
      <c r="J145" s="459">
        <f t="shared" si="11"/>
        <v>0</v>
      </c>
      <c r="K145" s="460"/>
      <c r="M145">
        <f t="shared" si="9"/>
        <v>0</v>
      </c>
      <c r="N145" s="415"/>
      <c r="O145" s="415"/>
    </row>
    <row r="146" customFormat="1" ht="20" hidden="1" customHeight="1" spans="1:15">
      <c r="A146" s="418">
        <v>2012504</v>
      </c>
      <c r="B146" s="421" t="s">
        <v>250</v>
      </c>
      <c r="C146" s="464">
        <v>0</v>
      </c>
      <c r="D146" s="461"/>
      <c r="E146" s="464"/>
      <c r="F146" s="457"/>
      <c r="G146" s="458">
        <f t="shared" si="10"/>
        <v>0</v>
      </c>
      <c r="H146" s="457"/>
      <c r="I146" s="461"/>
      <c r="J146" s="459">
        <f t="shared" si="11"/>
        <v>0</v>
      </c>
      <c r="K146" s="460"/>
      <c r="M146">
        <f t="shared" si="9"/>
        <v>0</v>
      </c>
      <c r="N146" s="415"/>
      <c r="O146" s="415"/>
    </row>
    <row r="147" customFormat="1" ht="20" hidden="1" customHeight="1" spans="1:15">
      <c r="A147" s="418">
        <v>2012505</v>
      </c>
      <c r="B147" s="422" t="s">
        <v>251</v>
      </c>
      <c r="C147" s="464">
        <v>0</v>
      </c>
      <c r="D147" s="461"/>
      <c r="E147" s="464"/>
      <c r="F147" s="457"/>
      <c r="G147" s="458">
        <f t="shared" si="10"/>
        <v>0</v>
      </c>
      <c r="H147" s="457"/>
      <c r="I147" s="461"/>
      <c r="J147" s="459">
        <f t="shared" si="11"/>
        <v>0</v>
      </c>
      <c r="K147" s="460"/>
      <c r="M147">
        <f t="shared" si="9"/>
        <v>0</v>
      </c>
      <c r="N147" s="415"/>
      <c r="O147" s="415"/>
    </row>
    <row r="148" customFormat="1" ht="20" hidden="1" customHeight="1" spans="1:15">
      <c r="A148" s="418">
        <v>2012550</v>
      </c>
      <c r="B148" s="419" t="s">
        <v>174</v>
      </c>
      <c r="C148" s="464">
        <v>0</v>
      </c>
      <c r="D148" s="461"/>
      <c r="E148" s="464"/>
      <c r="F148" s="457"/>
      <c r="G148" s="458">
        <f t="shared" si="10"/>
        <v>0</v>
      </c>
      <c r="H148" s="457"/>
      <c r="I148" s="461"/>
      <c r="J148" s="459">
        <f t="shared" si="11"/>
        <v>0</v>
      </c>
      <c r="K148" s="460"/>
      <c r="M148">
        <f t="shared" si="9"/>
        <v>0</v>
      </c>
      <c r="N148" s="415"/>
      <c r="O148" s="415"/>
    </row>
    <row r="149" customFormat="1" ht="20" hidden="1" customHeight="1" spans="1:15">
      <c r="A149" s="418">
        <v>2012599</v>
      </c>
      <c r="B149" s="419" t="s">
        <v>252</v>
      </c>
      <c r="C149" s="464">
        <v>0</v>
      </c>
      <c r="D149" s="461"/>
      <c r="E149" s="464"/>
      <c r="F149" s="457"/>
      <c r="G149" s="458">
        <f t="shared" si="10"/>
        <v>0</v>
      </c>
      <c r="H149" s="457"/>
      <c r="I149" s="461"/>
      <c r="J149" s="459">
        <f t="shared" si="11"/>
        <v>0</v>
      </c>
      <c r="K149" s="460"/>
      <c r="M149">
        <f t="shared" si="9"/>
        <v>0</v>
      </c>
      <c r="N149" s="415"/>
      <c r="O149" s="415"/>
    </row>
    <row r="150" customFormat="1" ht="20" hidden="1" customHeight="1" spans="1:15">
      <c r="A150" s="416">
        <v>20126</v>
      </c>
      <c r="B150" s="426" t="s">
        <v>253</v>
      </c>
      <c r="C150" s="468">
        <f>SUM(C151:C155)</f>
        <v>73.984884</v>
      </c>
      <c r="D150" s="468">
        <f>SUM(D151:D155)</f>
        <v>84.350082</v>
      </c>
      <c r="E150" s="468">
        <f>SUM(E151:E155)</f>
        <v>79</v>
      </c>
      <c r="F150" s="457">
        <f>E150/D150*100</f>
        <v>93.6572889164471</v>
      </c>
      <c r="G150" s="458">
        <f t="shared" si="10"/>
        <v>5.01511600000001</v>
      </c>
      <c r="H150" s="457">
        <f>G150/C150*100</f>
        <v>6.77856844379185</v>
      </c>
      <c r="I150" s="468">
        <f>SUM(I151:I155)</f>
        <v>75.315032</v>
      </c>
      <c r="J150" s="459">
        <f t="shared" si="11"/>
        <v>-9.03505</v>
      </c>
      <c r="K150" s="460">
        <f>J150/D150*100</f>
        <v>-10.7113707370196</v>
      </c>
      <c r="M150">
        <f t="shared" si="9"/>
        <v>0</v>
      </c>
      <c r="N150" s="415"/>
      <c r="O150" s="415"/>
    </row>
    <row r="151" customFormat="1" ht="20" hidden="1" customHeight="1" spans="1:15">
      <c r="A151" s="418">
        <v>2012601</v>
      </c>
      <c r="B151" s="421" t="s">
        <v>165</v>
      </c>
      <c r="C151" s="464">
        <v>71.158985</v>
      </c>
      <c r="D151" s="466">
        <v>81.350082</v>
      </c>
      <c r="E151" s="463">
        <v>75</v>
      </c>
      <c r="F151" s="457">
        <f>E151/D151*100</f>
        <v>92.1941295646143</v>
      </c>
      <c r="G151" s="458">
        <f t="shared" si="10"/>
        <v>3.841015</v>
      </c>
      <c r="H151" s="457">
        <f>G151/C151*100</f>
        <v>5.39779340585029</v>
      </c>
      <c r="I151" s="462">
        <v>75.315032</v>
      </c>
      <c r="J151" s="459">
        <f t="shared" si="11"/>
        <v>-6.03505</v>
      </c>
      <c r="K151" s="460">
        <f>J151/D151*100</f>
        <v>-7.41861575505234</v>
      </c>
      <c r="M151">
        <f t="shared" si="9"/>
        <v>68</v>
      </c>
      <c r="N151" s="415">
        <v>68</v>
      </c>
      <c r="O151" s="415"/>
    </row>
    <row r="152" customFormat="1" ht="20" hidden="1" customHeight="1" spans="1:15">
      <c r="A152" s="418">
        <v>2012602</v>
      </c>
      <c r="B152" s="421" t="s">
        <v>166</v>
      </c>
      <c r="C152" s="464">
        <v>2.825899</v>
      </c>
      <c r="D152" s="466">
        <v>3</v>
      </c>
      <c r="E152" s="463">
        <v>4</v>
      </c>
      <c r="F152" s="457">
        <f>E152/D152*100</f>
        <v>133.333333333333</v>
      </c>
      <c r="G152" s="458">
        <f t="shared" si="10"/>
        <v>1.174101</v>
      </c>
      <c r="H152" s="457">
        <f>G152/C152*100</f>
        <v>41.5478755610161</v>
      </c>
      <c r="I152" s="466"/>
      <c r="J152" s="459">
        <f t="shared" si="11"/>
        <v>-3</v>
      </c>
      <c r="K152" s="460">
        <f>J152/D152*100</f>
        <v>-100</v>
      </c>
      <c r="M152">
        <f t="shared" si="9"/>
        <v>8</v>
      </c>
      <c r="N152" s="415">
        <v>8</v>
      </c>
      <c r="O152" s="415"/>
    </row>
    <row r="153" customFormat="1" ht="20" hidden="1" customHeight="1" spans="1:15">
      <c r="A153" s="418">
        <v>2012603</v>
      </c>
      <c r="B153" s="419" t="s">
        <v>167</v>
      </c>
      <c r="C153" s="464">
        <v>0</v>
      </c>
      <c r="D153" s="461"/>
      <c r="E153" s="463"/>
      <c r="F153" s="457"/>
      <c r="G153" s="458">
        <f t="shared" si="10"/>
        <v>0</v>
      </c>
      <c r="H153" s="457"/>
      <c r="I153" s="461"/>
      <c r="J153" s="459">
        <f t="shared" si="11"/>
        <v>0</v>
      </c>
      <c r="K153" s="460"/>
      <c r="M153">
        <f t="shared" si="9"/>
        <v>0</v>
      </c>
      <c r="N153" s="415"/>
      <c r="O153" s="415"/>
    </row>
    <row r="154" customFormat="1" ht="20" hidden="1" customHeight="1" spans="1:15">
      <c r="A154" s="418">
        <v>2012604</v>
      </c>
      <c r="B154" s="419" t="s">
        <v>254</v>
      </c>
      <c r="C154" s="464">
        <v>0</v>
      </c>
      <c r="D154" s="461"/>
      <c r="E154" s="463"/>
      <c r="F154" s="457"/>
      <c r="G154" s="458">
        <f t="shared" si="10"/>
        <v>0</v>
      </c>
      <c r="H154" s="457"/>
      <c r="I154" s="461"/>
      <c r="J154" s="459">
        <f t="shared" si="11"/>
        <v>0</v>
      </c>
      <c r="K154" s="460"/>
      <c r="M154">
        <f t="shared" si="9"/>
        <v>0</v>
      </c>
      <c r="N154" s="415"/>
      <c r="O154" s="415"/>
    </row>
    <row r="155" customFormat="1" ht="20" hidden="1" customHeight="1" spans="1:15">
      <c r="A155" s="418">
        <v>2012699</v>
      </c>
      <c r="B155" s="419" t="s">
        <v>255</v>
      </c>
      <c r="C155" s="464">
        <v>0</v>
      </c>
      <c r="D155" s="461"/>
      <c r="E155" s="463"/>
      <c r="F155" s="457"/>
      <c r="G155" s="458">
        <f t="shared" si="10"/>
        <v>0</v>
      </c>
      <c r="H155" s="457"/>
      <c r="I155" s="461"/>
      <c r="J155" s="459">
        <f t="shared" si="11"/>
        <v>0</v>
      </c>
      <c r="K155" s="460"/>
      <c r="M155">
        <f t="shared" si="9"/>
        <v>0</v>
      </c>
      <c r="N155" s="415"/>
      <c r="O155" s="415"/>
    </row>
    <row r="156" customFormat="1" ht="20" hidden="1" customHeight="1" spans="1:15">
      <c r="A156" s="416">
        <v>20128</v>
      </c>
      <c r="B156" s="426" t="s">
        <v>256</v>
      </c>
      <c r="C156" s="456">
        <f>SUM(C157:C162)</f>
        <v>55.968029</v>
      </c>
      <c r="D156" s="456">
        <f>SUM(D157:D162)</f>
        <v>70.098299</v>
      </c>
      <c r="E156" s="456">
        <f>SUM(E157:E162)</f>
        <v>56</v>
      </c>
      <c r="F156" s="457">
        <f>E156/D156*100</f>
        <v>79.8878158227491</v>
      </c>
      <c r="G156" s="458">
        <f t="shared" si="10"/>
        <v>0.0319709999999986</v>
      </c>
      <c r="H156" s="457">
        <f>G156/C156*100</f>
        <v>0.0571236839517765</v>
      </c>
      <c r="I156" s="456">
        <f>SUM(I157:I162)</f>
        <v>51.838833</v>
      </c>
      <c r="J156" s="459">
        <f t="shared" si="11"/>
        <v>-18.259466</v>
      </c>
      <c r="K156" s="460">
        <f>J156/D156*100</f>
        <v>-26.0483724433884</v>
      </c>
      <c r="M156">
        <f t="shared" si="9"/>
        <v>0</v>
      </c>
      <c r="N156" s="415"/>
      <c r="O156" s="415"/>
    </row>
    <row r="157" customFormat="1" ht="20" hidden="1" customHeight="1" spans="1:15">
      <c r="A157" s="418">
        <v>2012801</v>
      </c>
      <c r="B157" s="421" t="s">
        <v>165</v>
      </c>
      <c r="C157" s="464">
        <v>55.968029</v>
      </c>
      <c r="D157" s="466">
        <v>70.098299</v>
      </c>
      <c r="E157" s="463">
        <v>55</v>
      </c>
      <c r="F157" s="457">
        <f>E157/D157*100</f>
        <v>78.4612476830572</v>
      </c>
      <c r="G157" s="458">
        <f t="shared" si="10"/>
        <v>-0.968029000000001</v>
      </c>
      <c r="H157" s="457">
        <f>G157/C157*100</f>
        <v>-1.72961066754736</v>
      </c>
      <c r="I157" s="462">
        <v>51.838833</v>
      </c>
      <c r="J157" s="459">
        <f t="shared" si="11"/>
        <v>-18.259466</v>
      </c>
      <c r="K157" s="460">
        <f>J157/D157*100</f>
        <v>-26.0483724433884</v>
      </c>
      <c r="M157">
        <f t="shared" si="9"/>
        <v>70</v>
      </c>
      <c r="N157" s="415">
        <v>70</v>
      </c>
      <c r="O157" s="415"/>
    </row>
    <row r="158" customFormat="1" ht="20" hidden="1" customHeight="1" spans="1:15">
      <c r="A158" s="418">
        <v>2012802</v>
      </c>
      <c r="B158" s="421" t="s">
        <v>166</v>
      </c>
      <c r="C158" s="464">
        <v>0</v>
      </c>
      <c r="D158" s="461"/>
      <c r="E158" s="463">
        <v>1</v>
      </c>
      <c r="F158" s="457"/>
      <c r="G158" s="458">
        <f t="shared" si="10"/>
        <v>1</v>
      </c>
      <c r="H158" s="457"/>
      <c r="I158" s="461"/>
      <c r="J158" s="459">
        <f t="shared" si="11"/>
        <v>0</v>
      </c>
      <c r="K158" s="460"/>
      <c r="M158">
        <f t="shared" si="9"/>
        <v>0</v>
      </c>
      <c r="N158" s="415"/>
      <c r="O158" s="415"/>
    </row>
    <row r="159" customFormat="1" ht="20" hidden="1" customHeight="1" spans="1:15">
      <c r="A159" s="418">
        <v>2012803</v>
      </c>
      <c r="B159" s="422" t="s">
        <v>167</v>
      </c>
      <c r="C159" s="464">
        <v>0</v>
      </c>
      <c r="D159" s="461"/>
      <c r="E159" s="464"/>
      <c r="F159" s="457"/>
      <c r="G159" s="458">
        <f t="shared" si="10"/>
        <v>0</v>
      </c>
      <c r="H159" s="457"/>
      <c r="I159" s="461"/>
      <c r="J159" s="459">
        <f t="shared" si="11"/>
        <v>0</v>
      </c>
      <c r="K159" s="460"/>
      <c r="M159">
        <f t="shared" si="9"/>
        <v>0</v>
      </c>
      <c r="N159" s="415"/>
      <c r="O159" s="415"/>
    </row>
    <row r="160" customFormat="1" ht="20" hidden="1" customHeight="1" spans="1:15">
      <c r="A160" s="418">
        <v>2012804</v>
      </c>
      <c r="B160" s="419" t="s">
        <v>179</v>
      </c>
      <c r="C160" s="464">
        <v>0</v>
      </c>
      <c r="D160" s="461"/>
      <c r="E160" s="464"/>
      <c r="F160" s="457"/>
      <c r="G160" s="458">
        <f t="shared" si="10"/>
        <v>0</v>
      </c>
      <c r="H160" s="457"/>
      <c r="I160" s="461"/>
      <c r="J160" s="459">
        <f t="shared" si="11"/>
        <v>0</v>
      </c>
      <c r="K160" s="460"/>
      <c r="M160">
        <f t="shared" si="9"/>
        <v>0</v>
      </c>
      <c r="N160" s="415"/>
      <c r="O160" s="415"/>
    </row>
    <row r="161" customFormat="1" ht="20" hidden="1" customHeight="1" spans="1:17">
      <c r="A161" s="418">
        <v>2012850</v>
      </c>
      <c r="B161" s="419" t="s">
        <v>174</v>
      </c>
      <c r="C161" s="464">
        <v>0</v>
      </c>
      <c r="D161" s="461"/>
      <c r="E161" s="464"/>
      <c r="F161" s="457"/>
      <c r="G161" s="458">
        <f t="shared" si="10"/>
        <v>0</v>
      </c>
      <c r="H161" s="457"/>
      <c r="I161" s="461"/>
      <c r="J161" s="459">
        <f t="shared" si="11"/>
        <v>0</v>
      </c>
      <c r="K161" s="460"/>
      <c r="M161">
        <f t="shared" si="9"/>
        <v>0</v>
      </c>
      <c r="N161" s="415"/>
      <c r="O161" s="415"/>
    </row>
    <row r="162" customFormat="1" ht="20" hidden="1" customHeight="1" spans="1:17">
      <c r="A162" s="418">
        <v>2012899</v>
      </c>
      <c r="B162" s="419" t="s">
        <v>257</v>
      </c>
      <c r="C162" s="464">
        <v>0</v>
      </c>
      <c r="D162" s="461"/>
      <c r="E162" s="464"/>
      <c r="F162" s="457"/>
      <c r="G162" s="458">
        <f t="shared" si="10"/>
        <v>0</v>
      </c>
      <c r="H162" s="457"/>
      <c r="I162" s="461"/>
      <c r="J162" s="459">
        <f t="shared" si="11"/>
        <v>0</v>
      </c>
      <c r="K162" s="460"/>
      <c r="M162">
        <f t="shared" si="9"/>
        <v>0</v>
      </c>
      <c r="N162" s="415"/>
      <c r="O162" s="415"/>
    </row>
    <row r="163" customFormat="1" ht="20" hidden="1" customHeight="1" spans="1:17">
      <c r="A163" s="416">
        <v>20129</v>
      </c>
      <c r="B163" s="426" t="s">
        <v>258</v>
      </c>
      <c r="C163" s="456">
        <f>SUM(C164:C169)</f>
        <v>1168.940903</v>
      </c>
      <c r="D163" s="456">
        <f>SUM(D164:D169)</f>
        <v>139.099897</v>
      </c>
      <c r="E163" s="456">
        <f>SUM(E164:E169)</f>
        <v>653</v>
      </c>
      <c r="F163" s="457">
        <f>E163/D163*100</f>
        <v>469.446789022425</v>
      </c>
      <c r="G163" s="458">
        <f t="shared" si="10"/>
        <v>-515.940903</v>
      </c>
      <c r="H163" s="457">
        <f>G163/C163*100</f>
        <v>-44.1374668022888</v>
      </c>
      <c r="I163" s="456">
        <f>SUM(I164:I169)</f>
        <v>315.563402</v>
      </c>
      <c r="J163" s="459">
        <f t="shared" si="11"/>
        <v>176.463505</v>
      </c>
      <c r="K163" s="460">
        <f>J163/D163*100</f>
        <v>126.860988976865</v>
      </c>
      <c r="M163">
        <f t="shared" si="9"/>
        <v>0</v>
      </c>
      <c r="N163" s="415"/>
      <c r="O163" s="415"/>
    </row>
    <row r="164" customFormat="1" ht="20" hidden="1" customHeight="1" spans="1:17">
      <c r="A164" s="418">
        <v>2012901</v>
      </c>
      <c r="B164" s="421" t="s">
        <v>165</v>
      </c>
      <c r="C164" s="464">
        <v>127.505322</v>
      </c>
      <c r="D164" s="461">
        <v>132.049897</v>
      </c>
      <c r="E164" s="463">
        <v>135</v>
      </c>
      <c r="F164" s="457">
        <f>E164/D164*100</f>
        <v>102.234082015225</v>
      </c>
      <c r="G164" s="458">
        <f t="shared" si="10"/>
        <v>7.49467799999999</v>
      </c>
      <c r="H164" s="457">
        <f>G164/C164*100</f>
        <v>5.87793347167108</v>
      </c>
      <c r="I164" s="461">
        <v>126.2</v>
      </c>
      <c r="J164" s="459">
        <f t="shared" si="11"/>
        <v>-5.84989699999998</v>
      </c>
      <c r="K164" s="460">
        <f>J164/D164*100</f>
        <v>-4.43006555317494</v>
      </c>
      <c r="M164">
        <f t="shared" ref="M164:M227" si="12">N164+O164</f>
        <v>117</v>
      </c>
      <c r="N164" s="415">
        <v>117</v>
      </c>
      <c r="O164" s="415"/>
    </row>
    <row r="165" customFormat="1" ht="20" hidden="1" customHeight="1" spans="1:17">
      <c r="A165" s="418">
        <v>2012902</v>
      </c>
      <c r="B165" s="421" t="s">
        <v>166</v>
      </c>
      <c r="C165" s="464">
        <v>53.28238</v>
      </c>
      <c r="D165" s="461">
        <v>1.8</v>
      </c>
      <c r="E165" s="463">
        <v>105</v>
      </c>
      <c r="F165" s="457">
        <f>E165/D165*100</f>
        <v>5833.33333333333</v>
      </c>
      <c r="G165" s="458">
        <f t="shared" si="10"/>
        <v>51.71762</v>
      </c>
      <c r="H165" s="457">
        <f>G165/C165*100</f>
        <v>97.0632693209275</v>
      </c>
      <c r="I165" s="461">
        <f>43+3.21+73.64+2.27</f>
        <v>122.12</v>
      </c>
      <c r="J165" s="459">
        <f t="shared" si="11"/>
        <v>120.32</v>
      </c>
      <c r="K165" s="460">
        <f>J165/D165*100</f>
        <v>6684.44444444445</v>
      </c>
      <c r="M165">
        <f t="shared" si="12"/>
        <v>0</v>
      </c>
      <c r="N165" s="415"/>
      <c r="O165" s="415"/>
      <c r="P165">
        <v>2</v>
      </c>
    </row>
    <row r="166" customFormat="1" ht="20" hidden="1" customHeight="1" spans="1:17">
      <c r="A166" s="418">
        <v>2012903</v>
      </c>
      <c r="B166" s="419" t="s">
        <v>167</v>
      </c>
      <c r="C166" s="464">
        <v>0</v>
      </c>
      <c r="D166" s="461"/>
      <c r="E166" s="463"/>
      <c r="F166" s="457"/>
      <c r="G166" s="458">
        <f t="shared" si="10"/>
        <v>0</v>
      </c>
      <c r="H166" s="457"/>
      <c r="I166" s="461"/>
      <c r="J166" s="459">
        <f t="shared" si="11"/>
        <v>0</v>
      </c>
      <c r="K166" s="460"/>
      <c r="M166">
        <f t="shared" si="12"/>
        <v>0</v>
      </c>
      <c r="N166" s="415"/>
      <c r="O166" s="415"/>
    </row>
    <row r="167" customFormat="1" ht="20" hidden="1" customHeight="1" spans="1:17">
      <c r="A167" s="418">
        <v>2012906</v>
      </c>
      <c r="B167" s="419" t="s">
        <v>259</v>
      </c>
      <c r="C167" s="464">
        <v>988.153201</v>
      </c>
      <c r="D167" s="461"/>
      <c r="E167" s="463">
        <v>411</v>
      </c>
      <c r="F167" s="457"/>
      <c r="G167" s="458">
        <f t="shared" si="10"/>
        <v>-577.153201</v>
      </c>
      <c r="H167" s="457">
        <f>G167/C167*100</f>
        <v>-58.4072591594023</v>
      </c>
      <c r="I167" s="461">
        <v>12.83</v>
      </c>
      <c r="J167" s="459">
        <f t="shared" si="11"/>
        <v>12.83</v>
      </c>
      <c r="K167" s="460"/>
      <c r="M167">
        <f t="shared" si="12"/>
        <v>0</v>
      </c>
      <c r="N167" s="415"/>
      <c r="O167" s="415"/>
      <c r="P167">
        <v>19</v>
      </c>
    </row>
    <row r="168" customFormat="1" ht="20" hidden="1" customHeight="1" spans="1:17">
      <c r="A168" s="418">
        <v>2012950</v>
      </c>
      <c r="B168" s="421" t="s">
        <v>174</v>
      </c>
      <c r="C168" s="464">
        <v>0</v>
      </c>
      <c r="D168" s="461"/>
      <c r="E168" s="463"/>
      <c r="F168" s="457"/>
      <c r="G168" s="458">
        <f t="shared" si="10"/>
        <v>0</v>
      </c>
      <c r="H168" s="457"/>
      <c r="I168" s="462">
        <v>51.413402</v>
      </c>
      <c r="J168" s="459">
        <f t="shared" si="11"/>
        <v>51.413402</v>
      </c>
      <c r="K168" s="460"/>
      <c r="M168">
        <f t="shared" si="12"/>
        <v>0</v>
      </c>
      <c r="N168" s="415"/>
      <c r="O168" s="415"/>
    </row>
    <row r="169" customFormat="1" ht="20" hidden="1" customHeight="1" spans="1:17">
      <c r="A169" s="418">
        <v>2012999</v>
      </c>
      <c r="B169" s="421" t="s">
        <v>260</v>
      </c>
      <c r="C169" s="464">
        <v>0</v>
      </c>
      <c r="D169" s="466">
        <f>3+2.25</f>
        <v>5.25</v>
      </c>
      <c r="E169" s="463">
        <v>2</v>
      </c>
      <c r="F169" s="457">
        <f>E169/D169*100</f>
        <v>38.0952380952381</v>
      </c>
      <c r="G169" s="458">
        <f t="shared" si="10"/>
        <v>2</v>
      </c>
      <c r="H169" s="457"/>
      <c r="I169" s="466">
        <v>3</v>
      </c>
      <c r="J169" s="459">
        <f t="shared" si="11"/>
        <v>-2.25</v>
      </c>
      <c r="K169" s="460">
        <f>J169/D169*100</f>
        <v>-42.8571428571429</v>
      </c>
      <c r="M169">
        <f t="shared" si="12"/>
        <v>0</v>
      </c>
      <c r="N169" s="415"/>
      <c r="O169" s="415"/>
      <c r="P169">
        <v>2</v>
      </c>
      <c r="Q169">
        <v>1</v>
      </c>
    </row>
    <row r="170" customFormat="1" ht="20" hidden="1" customHeight="1" spans="1:17">
      <c r="A170" s="416">
        <v>20131</v>
      </c>
      <c r="B170" s="426" t="s">
        <v>261</v>
      </c>
      <c r="C170" s="456">
        <f>SUM(C171:C176)</f>
        <v>668.342487</v>
      </c>
      <c r="D170" s="456">
        <f>SUM(D171:D176)</f>
        <v>569.442081</v>
      </c>
      <c r="E170" s="456">
        <f>SUM(E171:E176)</f>
        <v>565</v>
      </c>
      <c r="F170" s="457">
        <f>E170/D170*100</f>
        <v>99.2199240013665</v>
      </c>
      <c r="G170" s="458">
        <f t="shared" si="10"/>
        <v>-103.342487</v>
      </c>
      <c r="H170" s="457">
        <f>G170/C170*100</f>
        <v>-15.46250448088</v>
      </c>
      <c r="I170" s="456">
        <f>SUM(I171:I176)</f>
        <v>1182.606043</v>
      </c>
      <c r="J170" s="459">
        <f t="shared" si="11"/>
        <v>613.163962</v>
      </c>
      <c r="K170" s="460">
        <f>J170/D170*100</f>
        <v>107.678020725693</v>
      </c>
      <c r="M170">
        <f t="shared" si="12"/>
        <v>0</v>
      </c>
      <c r="N170" s="415"/>
      <c r="O170" s="415"/>
    </row>
    <row r="171" customFormat="1" ht="20" hidden="1" customHeight="1" spans="1:17">
      <c r="A171" s="418">
        <v>2013101</v>
      </c>
      <c r="B171" s="421" t="s">
        <v>165</v>
      </c>
      <c r="C171" s="464">
        <v>532.408229</v>
      </c>
      <c r="D171" s="461">
        <v>500.642943</v>
      </c>
      <c r="E171" s="463">
        <v>439</v>
      </c>
      <c r="F171" s="457">
        <f>E171/D171*100</f>
        <v>87.6872442003042</v>
      </c>
      <c r="G171" s="458">
        <f t="shared" si="10"/>
        <v>-93.408229</v>
      </c>
      <c r="H171" s="457">
        <f>G171/C171*100</f>
        <v>-17.544475068585</v>
      </c>
      <c r="I171" s="461">
        <v>508.57</v>
      </c>
      <c r="J171" s="459">
        <f t="shared" si="11"/>
        <v>7.92705699999999</v>
      </c>
      <c r="K171" s="460">
        <f>J171/D171*100</f>
        <v>1.5833753597921</v>
      </c>
      <c r="M171">
        <f t="shared" si="12"/>
        <v>661</v>
      </c>
      <c r="N171" s="415">
        <v>661</v>
      </c>
      <c r="O171" s="415"/>
    </row>
    <row r="172" customFormat="1" ht="20" hidden="1" customHeight="1" spans="1:17">
      <c r="A172" s="418">
        <v>2013102</v>
      </c>
      <c r="B172" s="419" t="s">
        <v>166</v>
      </c>
      <c r="C172" s="464">
        <v>36.744401</v>
      </c>
      <c r="D172" s="461">
        <v>19.3371</v>
      </c>
      <c r="E172" s="463">
        <v>14</v>
      </c>
      <c r="F172" s="457">
        <f>E172/D172*100</f>
        <v>72.3996876470619</v>
      </c>
      <c r="G172" s="458">
        <f t="shared" si="10"/>
        <v>-22.744401</v>
      </c>
      <c r="H172" s="457">
        <f>G172/C172*100</f>
        <v>-61.8989570683163</v>
      </c>
      <c r="I172" s="461">
        <v>613.29</v>
      </c>
      <c r="J172" s="459">
        <f t="shared" si="11"/>
        <v>593.9529</v>
      </c>
      <c r="K172" s="460">
        <f>J172/D172*100</f>
        <v>3071.57174550476</v>
      </c>
      <c r="M172">
        <f t="shared" si="12"/>
        <v>33</v>
      </c>
      <c r="N172" s="415">
        <v>33</v>
      </c>
      <c r="O172" s="415"/>
    </row>
    <row r="173" customFormat="1" ht="20" hidden="1" customHeight="1" spans="1:17">
      <c r="A173" s="418">
        <v>2013103</v>
      </c>
      <c r="B173" s="419" t="s">
        <v>167</v>
      </c>
      <c r="C173" s="464">
        <v>0</v>
      </c>
      <c r="D173" s="461"/>
      <c r="E173" s="463"/>
      <c r="F173" s="457"/>
      <c r="G173" s="458">
        <f t="shared" si="10"/>
        <v>0</v>
      </c>
      <c r="H173" s="457"/>
      <c r="I173" s="461"/>
      <c r="J173" s="459">
        <f t="shared" si="11"/>
        <v>0</v>
      </c>
      <c r="K173" s="460"/>
      <c r="M173">
        <f t="shared" si="12"/>
        <v>0</v>
      </c>
      <c r="N173" s="415"/>
      <c r="O173" s="415"/>
    </row>
    <row r="174" customFormat="1" ht="20" hidden="1" customHeight="1" spans="1:17">
      <c r="A174" s="418">
        <v>2013105</v>
      </c>
      <c r="B174" s="419" t="s">
        <v>262</v>
      </c>
      <c r="C174" s="464">
        <v>0</v>
      </c>
      <c r="D174" s="461"/>
      <c r="E174" s="463"/>
      <c r="F174" s="457"/>
      <c r="G174" s="458">
        <f t="shared" si="10"/>
        <v>0</v>
      </c>
      <c r="H174" s="457"/>
      <c r="I174" s="461"/>
      <c r="J174" s="459">
        <f t="shared" si="11"/>
        <v>0</v>
      </c>
      <c r="K174" s="460"/>
      <c r="M174">
        <f t="shared" si="12"/>
        <v>0</v>
      </c>
      <c r="N174" s="415"/>
      <c r="O174" s="415"/>
    </row>
    <row r="175" customFormat="1" ht="20" hidden="1" customHeight="1" spans="1:17">
      <c r="A175" s="418">
        <v>2013150</v>
      </c>
      <c r="B175" s="421" t="s">
        <v>174</v>
      </c>
      <c r="C175" s="464">
        <v>99.189857</v>
      </c>
      <c r="D175" s="466">
        <v>49.462038</v>
      </c>
      <c r="E175" s="463">
        <v>112</v>
      </c>
      <c r="F175" s="457">
        <f>E175/D175*100</f>
        <v>226.436282306038</v>
      </c>
      <c r="G175" s="458">
        <f t="shared" si="10"/>
        <v>12.810143</v>
      </c>
      <c r="H175" s="457">
        <f>G175/C175*100</f>
        <v>12.9147711141473</v>
      </c>
      <c r="I175" s="462">
        <v>60.746043</v>
      </c>
      <c r="J175" s="459">
        <f t="shared" si="11"/>
        <v>11.284005</v>
      </c>
      <c r="K175" s="460">
        <f>J175/D175*100</f>
        <v>22.813465551096</v>
      </c>
      <c r="M175">
        <f t="shared" si="12"/>
        <v>0</v>
      </c>
      <c r="N175" s="415"/>
      <c r="O175" s="415"/>
    </row>
    <row r="176" customFormat="1" ht="20" hidden="1" customHeight="1" spans="1:17">
      <c r="A176" s="418">
        <v>9906</v>
      </c>
      <c r="B176" s="424" t="s">
        <v>263</v>
      </c>
      <c r="C176" s="464">
        <v>0</v>
      </c>
      <c r="D176" s="461"/>
      <c r="E176" s="463"/>
      <c r="F176" s="457"/>
      <c r="G176" s="458">
        <f t="shared" si="10"/>
        <v>0</v>
      </c>
      <c r="H176" s="457"/>
      <c r="I176" s="461"/>
      <c r="J176" s="459">
        <f t="shared" si="11"/>
        <v>0</v>
      </c>
      <c r="K176" s="460"/>
      <c r="M176">
        <f t="shared" si="12"/>
        <v>0</v>
      </c>
      <c r="N176" s="415"/>
      <c r="O176" s="415"/>
    </row>
    <row r="177" customFormat="1" ht="20" hidden="1" customHeight="1" spans="1:16">
      <c r="A177" s="416">
        <v>20132</v>
      </c>
      <c r="B177" s="426" t="s">
        <v>264</v>
      </c>
      <c r="C177" s="456">
        <f>SUM(C178:C183)</f>
        <v>519.793669</v>
      </c>
      <c r="D177" s="456">
        <f>SUM(D178:D183)</f>
        <v>804.408332</v>
      </c>
      <c r="E177" s="456">
        <f>SUM(E178:E183)</f>
        <v>524</v>
      </c>
      <c r="F177" s="457">
        <f>E177/D177*100</f>
        <v>65.1410458040855</v>
      </c>
      <c r="G177" s="458">
        <f t="shared" si="10"/>
        <v>4.20633099999998</v>
      </c>
      <c r="H177" s="457">
        <f>G177/C177*100</f>
        <v>0.809230902733441</v>
      </c>
      <c r="I177" s="456">
        <f>SUM(I178:I183)</f>
        <v>1055.962</v>
      </c>
      <c r="J177" s="459">
        <f t="shared" si="11"/>
        <v>251.553668</v>
      </c>
      <c r="K177" s="460">
        <f>J177/D177*100</f>
        <v>31.2718874224689</v>
      </c>
      <c r="M177">
        <f t="shared" si="12"/>
        <v>0</v>
      </c>
      <c r="N177" s="415"/>
      <c r="O177" s="415"/>
    </row>
    <row r="178" customFormat="1" ht="20" hidden="1" customHeight="1" spans="1:16">
      <c r="A178" s="418">
        <v>2013201</v>
      </c>
      <c r="B178" s="419" t="s">
        <v>165</v>
      </c>
      <c r="C178" s="464">
        <v>437.148235</v>
      </c>
      <c r="D178" s="461">
        <v>478.110332</v>
      </c>
      <c r="E178" s="463">
        <v>463</v>
      </c>
      <c r="F178" s="457">
        <f>E178/D178*100</f>
        <v>96.8395721680409</v>
      </c>
      <c r="G178" s="458">
        <f t="shared" si="10"/>
        <v>25.851765</v>
      </c>
      <c r="H178" s="457">
        <f>G178/C178*100</f>
        <v>5.91372969857696</v>
      </c>
      <c r="I178" s="461">
        <v>470.62</v>
      </c>
      <c r="J178" s="459">
        <f t="shared" si="11"/>
        <v>-7.49033200000002</v>
      </c>
      <c r="K178" s="460">
        <f>J178/D178*100</f>
        <v>-1.56665344768162</v>
      </c>
      <c r="M178" s="278">
        <f t="shared" si="12"/>
        <v>411</v>
      </c>
      <c r="N178" s="415">
        <v>411</v>
      </c>
      <c r="O178" s="415"/>
    </row>
    <row r="179" customFormat="1" ht="20" hidden="1" customHeight="1" spans="1:16">
      <c r="A179" s="418">
        <v>2013202</v>
      </c>
      <c r="B179" s="419" t="s">
        <v>166</v>
      </c>
      <c r="C179" s="464">
        <v>82.645434</v>
      </c>
      <c r="D179" s="466">
        <f>280.538+45.76</f>
        <v>326.298</v>
      </c>
      <c r="E179" s="463">
        <v>44</v>
      </c>
      <c r="F179" s="457">
        <f>E179/D179*100</f>
        <v>13.4846060962678</v>
      </c>
      <c r="G179" s="458">
        <f t="shared" si="10"/>
        <v>-38.645434</v>
      </c>
      <c r="H179" s="457">
        <f>G179/C179*100</f>
        <v>-46.7605191594735</v>
      </c>
      <c r="I179" s="462">
        <f>539.582+45.76</f>
        <v>585.342</v>
      </c>
      <c r="J179" s="459">
        <f t="shared" si="11"/>
        <v>259.044</v>
      </c>
      <c r="K179" s="460">
        <f>J179/D179*100</f>
        <v>79.3887795818546</v>
      </c>
      <c r="M179" s="278">
        <f t="shared" si="12"/>
        <v>189</v>
      </c>
      <c r="N179" s="415">
        <v>189</v>
      </c>
      <c r="O179" s="415"/>
      <c r="P179">
        <v>58</v>
      </c>
    </row>
    <row r="180" customFormat="1" ht="20" hidden="1" customHeight="1" spans="1:16">
      <c r="A180" s="418">
        <v>2013203</v>
      </c>
      <c r="B180" s="419" t="s">
        <v>167</v>
      </c>
      <c r="C180" s="464">
        <v>0</v>
      </c>
      <c r="D180" s="461"/>
      <c r="E180" s="463"/>
      <c r="F180" s="457"/>
      <c r="G180" s="458">
        <f t="shared" si="10"/>
        <v>0</v>
      </c>
      <c r="H180" s="457"/>
      <c r="I180" s="461"/>
      <c r="J180" s="459">
        <f t="shared" si="11"/>
        <v>0</v>
      </c>
      <c r="K180" s="460"/>
      <c r="M180" s="278">
        <f t="shared" si="12"/>
        <v>0</v>
      </c>
      <c r="N180" s="415"/>
      <c r="O180" s="415"/>
    </row>
    <row r="181" customFormat="1" ht="20" hidden="1" customHeight="1" spans="1:16">
      <c r="A181" s="418">
        <v>2013204</v>
      </c>
      <c r="B181" s="419" t="s">
        <v>265</v>
      </c>
      <c r="C181" s="464">
        <v>0</v>
      </c>
      <c r="D181" s="461"/>
      <c r="E181" s="463"/>
      <c r="F181" s="457"/>
      <c r="G181" s="458">
        <f t="shared" si="10"/>
        <v>0</v>
      </c>
      <c r="H181" s="457"/>
      <c r="I181" s="461"/>
      <c r="J181" s="459">
        <f t="shared" si="11"/>
        <v>0</v>
      </c>
      <c r="K181" s="460"/>
      <c r="M181" s="278">
        <f t="shared" si="12"/>
        <v>0</v>
      </c>
      <c r="N181" s="415"/>
      <c r="O181" s="415"/>
    </row>
    <row r="182" customFormat="1" ht="20" hidden="1" customHeight="1" spans="1:16">
      <c r="A182" s="418">
        <v>2013250</v>
      </c>
      <c r="B182" s="421" t="s">
        <v>174</v>
      </c>
      <c r="C182" s="464">
        <v>0</v>
      </c>
      <c r="D182" s="461"/>
      <c r="E182" s="463"/>
      <c r="F182" s="457"/>
      <c r="G182" s="458">
        <f t="shared" si="10"/>
        <v>0</v>
      </c>
      <c r="H182" s="457"/>
      <c r="I182" s="461"/>
      <c r="J182" s="459">
        <f t="shared" si="11"/>
        <v>0</v>
      </c>
      <c r="K182" s="460"/>
      <c r="M182">
        <f t="shared" si="12"/>
        <v>0</v>
      </c>
      <c r="N182" s="415"/>
      <c r="O182" s="415"/>
    </row>
    <row r="183" customFormat="1" ht="20" hidden="1" customHeight="1" spans="1:16">
      <c r="A183" s="418">
        <v>2013299</v>
      </c>
      <c r="B183" s="421" t="s">
        <v>266</v>
      </c>
      <c r="C183" s="464">
        <v>0</v>
      </c>
      <c r="D183" s="461"/>
      <c r="E183" s="463">
        <v>17</v>
      </c>
      <c r="F183" s="457"/>
      <c r="G183" s="458">
        <f t="shared" si="10"/>
        <v>17</v>
      </c>
      <c r="H183" s="457"/>
      <c r="I183" s="461"/>
      <c r="J183" s="459">
        <f t="shared" si="11"/>
        <v>0</v>
      </c>
      <c r="K183" s="460"/>
      <c r="M183">
        <f t="shared" si="12"/>
        <v>0</v>
      </c>
      <c r="N183" s="415"/>
      <c r="O183" s="415"/>
    </row>
    <row r="184" customFormat="1" ht="20" hidden="1" customHeight="1" spans="1:16">
      <c r="A184" s="416">
        <v>20133</v>
      </c>
      <c r="B184" s="426" t="s">
        <v>267</v>
      </c>
      <c r="C184" s="456">
        <f>SUM(C185:C190)</f>
        <v>324.779189</v>
      </c>
      <c r="D184" s="456">
        <f>SUM(D185:D190)</f>
        <v>227.761281</v>
      </c>
      <c r="E184" s="456">
        <f>SUM(E185:E190)</f>
        <v>320</v>
      </c>
      <c r="F184" s="457">
        <f>E184/D184*100</f>
        <v>140.497980427147</v>
      </c>
      <c r="G184" s="458">
        <f t="shared" si="10"/>
        <v>-4.77918899999997</v>
      </c>
      <c r="H184" s="457">
        <f>G184/C184*100</f>
        <v>-1.47151946980198</v>
      </c>
      <c r="I184" s="456">
        <f>SUM(I185:I190)</f>
        <v>177.801057</v>
      </c>
      <c r="J184" s="459">
        <f t="shared" si="11"/>
        <v>-49.960224</v>
      </c>
      <c r="K184" s="460">
        <f>J184/D184*100</f>
        <v>-21.9353455427747</v>
      </c>
      <c r="M184">
        <f t="shared" si="12"/>
        <v>0</v>
      </c>
      <c r="N184" s="415"/>
      <c r="O184" s="415"/>
    </row>
    <row r="185" customFormat="1" ht="20" hidden="1" customHeight="1" spans="1:16">
      <c r="A185" s="418">
        <v>2013301</v>
      </c>
      <c r="B185" s="422" t="s">
        <v>165</v>
      </c>
      <c r="C185" s="464">
        <v>281.814862</v>
      </c>
      <c r="D185" s="466">
        <v>218.71941</v>
      </c>
      <c r="E185" s="463">
        <v>219</v>
      </c>
      <c r="F185" s="457">
        <f>E185/D185*100</f>
        <v>100.128287654031</v>
      </c>
      <c r="G185" s="458">
        <f t="shared" si="10"/>
        <v>-62.814862</v>
      </c>
      <c r="H185" s="457">
        <f>G185/C185*100</f>
        <v>-22.2894071498614</v>
      </c>
      <c r="I185" s="462">
        <v>155.588428</v>
      </c>
      <c r="J185" s="459">
        <f t="shared" si="11"/>
        <v>-63.130982</v>
      </c>
      <c r="K185" s="460">
        <f>J185/D185*100</f>
        <v>-28.8639138154222</v>
      </c>
      <c r="M185">
        <f t="shared" si="12"/>
        <v>243</v>
      </c>
      <c r="N185" s="415">
        <v>243</v>
      </c>
      <c r="O185" s="415"/>
    </row>
    <row r="186" customFormat="1" ht="20" hidden="1" customHeight="1" spans="1:16">
      <c r="A186" s="418">
        <v>2013302</v>
      </c>
      <c r="B186" s="419" t="s">
        <v>166</v>
      </c>
      <c r="C186" s="464">
        <v>42.964327</v>
      </c>
      <c r="D186" s="466">
        <v>9.041871</v>
      </c>
      <c r="E186" s="463">
        <v>101</v>
      </c>
      <c r="F186" s="457">
        <f>E186/D186*100</f>
        <v>1117.02544749864</v>
      </c>
      <c r="G186" s="458">
        <f t="shared" si="10"/>
        <v>58.035673</v>
      </c>
      <c r="H186" s="457">
        <f>G186/C186*100</f>
        <v>135.078743349105</v>
      </c>
      <c r="I186" s="462">
        <v>22.212629</v>
      </c>
      <c r="J186" s="459">
        <f t="shared" si="11"/>
        <v>13.170758</v>
      </c>
      <c r="K186" s="460">
        <f>J186/D186*100</f>
        <v>145.66407771135</v>
      </c>
      <c r="M186">
        <f t="shared" si="12"/>
        <v>12</v>
      </c>
      <c r="N186" s="415">
        <v>12</v>
      </c>
      <c r="O186" s="415"/>
    </row>
    <row r="187" customFormat="1" ht="20" hidden="1" customHeight="1" spans="1:16">
      <c r="A187" s="418">
        <v>2013303</v>
      </c>
      <c r="B187" s="419" t="s">
        <v>167</v>
      </c>
      <c r="C187" s="464">
        <v>0</v>
      </c>
      <c r="D187" s="461"/>
      <c r="E187" s="463"/>
      <c r="F187" s="457"/>
      <c r="G187" s="458">
        <f t="shared" si="10"/>
        <v>0</v>
      </c>
      <c r="H187" s="457"/>
      <c r="I187" s="461"/>
      <c r="J187" s="459">
        <f t="shared" si="11"/>
        <v>0</v>
      </c>
      <c r="K187" s="460"/>
      <c r="M187">
        <f t="shared" si="12"/>
        <v>0</v>
      </c>
      <c r="N187" s="415"/>
      <c r="O187" s="415"/>
    </row>
    <row r="188" customFormat="1" ht="20" hidden="1" customHeight="1" spans="1:16">
      <c r="A188" s="418">
        <v>2013304</v>
      </c>
      <c r="B188" s="419" t="s">
        <v>268</v>
      </c>
      <c r="C188" s="464">
        <v>0</v>
      </c>
      <c r="D188" s="461"/>
      <c r="E188" s="463"/>
      <c r="F188" s="457"/>
      <c r="G188" s="458">
        <f t="shared" si="10"/>
        <v>0</v>
      </c>
      <c r="H188" s="457"/>
      <c r="I188" s="461"/>
      <c r="J188" s="459">
        <f t="shared" si="11"/>
        <v>0</v>
      </c>
      <c r="K188" s="460"/>
      <c r="M188">
        <f t="shared" si="12"/>
        <v>0</v>
      </c>
      <c r="N188" s="415"/>
      <c r="O188" s="415"/>
    </row>
    <row r="189" customFormat="1" ht="20" hidden="1" customHeight="1" spans="1:16">
      <c r="A189" s="418">
        <v>2013350</v>
      </c>
      <c r="B189" s="419" t="s">
        <v>174</v>
      </c>
      <c r="C189" s="464">
        <v>0</v>
      </c>
      <c r="D189" s="461"/>
      <c r="E189" s="463"/>
      <c r="F189" s="457"/>
      <c r="G189" s="458">
        <f t="shared" si="10"/>
        <v>0</v>
      </c>
      <c r="H189" s="457"/>
      <c r="I189" s="461"/>
      <c r="J189" s="459">
        <f t="shared" si="11"/>
        <v>0</v>
      </c>
      <c r="K189" s="460"/>
      <c r="M189">
        <f t="shared" si="12"/>
        <v>0</v>
      </c>
      <c r="N189" s="415"/>
      <c r="O189" s="415"/>
    </row>
    <row r="190" customFormat="1" ht="20" hidden="1" customHeight="1" spans="1:16">
      <c r="A190" s="418">
        <v>2013399</v>
      </c>
      <c r="B190" s="421" t="s">
        <v>269</v>
      </c>
      <c r="C190" s="464">
        <v>0</v>
      </c>
      <c r="D190" s="461"/>
      <c r="E190" s="463"/>
      <c r="F190" s="457"/>
      <c r="G190" s="458">
        <f t="shared" si="10"/>
        <v>0</v>
      </c>
      <c r="H190" s="457"/>
      <c r="I190" s="461"/>
      <c r="J190" s="459">
        <f t="shared" si="11"/>
        <v>0</v>
      </c>
      <c r="K190" s="460"/>
      <c r="M190">
        <f t="shared" si="12"/>
        <v>0</v>
      </c>
      <c r="N190" s="415"/>
      <c r="O190" s="415"/>
    </row>
    <row r="191" customFormat="1" ht="20" hidden="1" customHeight="1" spans="1:16">
      <c r="A191" s="416">
        <v>20134</v>
      </c>
      <c r="B191" s="426" t="s">
        <v>270</v>
      </c>
      <c r="C191" s="456">
        <f>SUM(C192:C198)</f>
        <v>168.998293</v>
      </c>
      <c r="D191" s="456">
        <f>SUM(D192:D198)</f>
        <v>101.984255</v>
      </c>
      <c r="E191" s="456">
        <f>SUM(E192:E198)</f>
        <v>152</v>
      </c>
      <c r="F191" s="457">
        <f>E191/D191*100</f>
        <v>149.042614470243</v>
      </c>
      <c r="G191" s="458">
        <f t="shared" si="10"/>
        <v>-16.998293</v>
      </c>
      <c r="H191" s="457">
        <f>G191/C191*100</f>
        <v>-10.0582631328708</v>
      </c>
      <c r="I191" s="456">
        <f>SUM(I192:I198)</f>
        <v>118.669268</v>
      </c>
      <c r="J191" s="459">
        <f t="shared" si="11"/>
        <v>16.685013</v>
      </c>
      <c r="K191" s="460">
        <f>J191/D191*100</f>
        <v>16.3603813157237</v>
      </c>
      <c r="M191">
        <f t="shared" si="12"/>
        <v>0</v>
      </c>
      <c r="N191" s="415"/>
      <c r="O191" s="415"/>
    </row>
    <row r="192" customFormat="1" ht="20" hidden="1" customHeight="1" spans="1:16">
      <c r="A192" s="418">
        <v>2013401</v>
      </c>
      <c r="B192" s="421" t="s">
        <v>165</v>
      </c>
      <c r="C192" s="464">
        <v>142.842377</v>
      </c>
      <c r="D192" s="466">
        <v>92.250498</v>
      </c>
      <c r="E192" s="463">
        <v>134</v>
      </c>
      <c r="F192" s="457">
        <f>E192/D192*100</f>
        <v>145.256668424706</v>
      </c>
      <c r="G192" s="458">
        <f t="shared" si="10"/>
        <v>-8.842377</v>
      </c>
      <c r="H192" s="457">
        <f>G192/C192*100</f>
        <v>-6.19030373598445</v>
      </c>
      <c r="I192" s="462">
        <v>110.804332</v>
      </c>
      <c r="J192" s="459">
        <f t="shared" si="11"/>
        <v>18.553834</v>
      </c>
      <c r="K192" s="460">
        <f>J192/D192*100</f>
        <v>20.1124486070525</v>
      </c>
      <c r="M192">
        <f t="shared" si="12"/>
        <v>155</v>
      </c>
      <c r="N192" s="415">
        <v>155</v>
      </c>
      <c r="O192" s="415"/>
    </row>
    <row r="193" customFormat="1" ht="20" hidden="1" customHeight="1" spans="1:17">
      <c r="A193" s="418">
        <v>2013402</v>
      </c>
      <c r="B193" s="419" t="s">
        <v>166</v>
      </c>
      <c r="C193" s="464">
        <v>21.955916</v>
      </c>
      <c r="D193" s="466">
        <v>4.233757</v>
      </c>
      <c r="E193" s="463">
        <v>16</v>
      </c>
      <c r="F193" s="457">
        <f>E193/D193*100</f>
        <v>377.914934654965</v>
      </c>
      <c r="G193" s="458">
        <f t="shared" si="10"/>
        <v>-5.955916</v>
      </c>
      <c r="H193" s="457">
        <f>G193/C193*100</f>
        <v>-27.1267024340957</v>
      </c>
      <c r="I193" s="462">
        <v>4.064936</v>
      </c>
      <c r="J193" s="459">
        <f t="shared" si="11"/>
        <v>-0.168820999999999</v>
      </c>
      <c r="K193" s="460">
        <f>J193/D193*100</f>
        <v>-3.9874985739616</v>
      </c>
      <c r="M193">
        <f t="shared" si="12"/>
        <v>0</v>
      </c>
      <c r="N193" s="415"/>
      <c r="O193" s="415"/>
    </row>
    <row r="194" customFormat="1" ht="20" hidden="1" customHeight="1" spans="1:17">
      <c r="A194" s="418">
        <v>2013403</v>
      </c>
      <c r="B194" s="419" t="s">
        <v>167</v>
      </c>
      <c r="C194" s="464">
        <v>0</v>
      </c>
      <c r="D194" s="461"/>
      <c r="E194" s="463"/>
      <c r="F194" s="457"/>
      <c r="G194" s="458">
        <f t="shared" si="10"/>
        <v>0</v>
      </c>
      <c r="H194" s="457"/>
      <c r="I194" s="461"/>
      <c r="J194" s="459">
        <f t="shared" si="11"/>
        <v>0</v>
      </c>
      <c r="K194" s="460"/>
      <c r="M194">
        <f t="shared" si="12"/>
        <v>0</v>
      </c>
      <c r="N194" s="415"/>
      <c r="O194" s="415"/>
    </row>
    <row r="195" customFormat="1" ht="20" hidden="1" customHeight="1" spans="1:17">
      <c r="A195" s="418">
        <v>2013404</v>
      </c>
      <c r="B195" s="419" t="s">
        <v>271</v>
      </c>
      <c r="C195" s="464">
        <v>0</v>
      </c>
      <c r="D195" s="461"/>
      <c r="E195" s="463"/>
      <c r="F195" s="457"/>
      <c r="G195" s="458">
        <f t="shared" si="10"/>
        <v>0</v>
      </c>
      <c r="H195" s="457"/>
      <c r="I195" s="461"/>
      <c r="J195" s="459">
        <f t="shared" si="11"/>
        <v>0</v>
      </c>
      <c r="K195" s="460"/>
      <c r="M195">
        <f t="shared" si="12"/>
        <v>0</v>
      </c>
      <c r="N195" s="415"/>
      <c r="O195" s="415"/>
    </row>
    <row r="196" customFormat="1" ht="20" hidden="1" customHeight="1" spans="1:17">
      <c r="A196" s="418">
        <v>2013405</v>
      </c>
      <c r="B196" s="419" t="s">
        <v>272</v>
      </c>
      <c r="C196" s="464">
        <v>4.2</v>
      </c>
      <c r="D196" s="461">
        <v>5.5</v>
      </c>
      <c r="E196" s="463">
        <v>2</v>
      </c>
      <c r="F196" s="457">
        <f>E196/D196*100</f>
        <v>36.3636363636364</v>
      </c>
      <c r="G196" s="458">
        <f t="shared" si="10"/>
        <v>-2.2</v>
      </c>
      <c r="H196" s="457">
        <f>G196/C196*100</f>
        <v>-52.3809523809524</v>
      </c>
      <c r="I196" s="461">
        <v>3.8</v>
      </c>
      <c r="J196" s="459">
        <f t="shared" si="11"/>
        <v>-1.7</v>
      </c>
      <c r="K196" s="460">
        <f>J196/D196*100</f>
        <v>-30.9090909090909</v>
      </c>
      <c r="M196">
        <f t="shared" si="12"/>
        <v>0</v>
      </c>
      <c r="N196" s="415"/>
      <c r="O196" s="415"/>
      <c r="P196">
        <v>6</v>
      </c>
      <c r="Q196">
        <v>4</v>
      </c>
    </row>
    <row r="197" customFormat="1" ht="20" hidden="1" customHeight="1" spans="1:17">
      <c r="A197" s="418">
        <v>2013450</v>
      </c>
      <c r="B197" s="419" t="s">
        <v>174</v>
      </c>
      <c r="C197" s="464">
        <v>0</v>
      </c>
      <c r="D197" s="461"/>
      <c r="E197" s="463"/>
      <c r="F197" s="457"/>
      <c r="G197" s="458">
        <f t="shared" si="10"/>
        <v>0</v>
      </c>
      <c r="H197" s="457"/>
      <c r="I197" s="461"/>
      <c r="J197" s="459">
        <f t="shared" si="11"/>
        <v>0</v>
      </c>
      <c r="K197" s="460"/>
      <c r="M197">
        <f t="shared" si="12"/>
        <v>0</v>
      </c>
      <c r="N197" s="415"/>
      <c r="O197" s="415"/>
    </row>
    <row r="198" customFormat="1" ht="20" hidden="1" customHeight="1" spans="1:17">
      <c r="A198" s="418">
        <v>2013499</v>
      </c>
      <c r="B198" s="421" t="s">
        <v>273</v>
      </c>
      <c r="C198" s="464">
        <v>0</v>
      </c>
      <c r="D198" s="461"/>
      <c r="E198" s="463"/>
      <c r="F198" s="457"/>
      <c r="G198" s="458">
        <f t="shared" si="10"/>
        <v>0</v>
      </c>
      <c r="H198" s="457"/>
      <c r="I198" s="461"/>
      <c r="J198" s="459">
        <f t="shared" si="11"/>
        <v>0</v>
      </c>
      <c r="K198" s="460"/>
      <c r="M198">
        <f t="shared" si="12"/>
        <v>0</v>
      </c>
      <c r="N198" s="415"/>
      <c r="O198" s="415"/>
    </row>
    <row r="199" customFormat="1" ht="20" hidden="1" customHeight="1" spans="1:17">
      <c r="A199" s="416">
        <v>20135</v>
      </c>
      <c r="B199" s="426" t="s">
        <v>274</v>
      </c>
      <c r="C199" s="456">
        <v>0</v>
      </c>
      <c r="D199" s="456"/>
      <c r="E199" s="456">
        <v>0</v>
      </c>
      <c r="F199" s="457"/>
      <c r="G199" s="458">
        <f t="shared" ref="G199:G262" si="13">E199-C199</f>
        <v>0</v>
      </c>
      <c r="H199" s="457"/>
      <c r="I199" s="456"/>
      <c r="J199" s="459">
        <f t="shared" ref="J199:J262" si="14">I199-D199</f>
        <v>0</v>
      </c>
      <c r="K199" s="460"/>
      <c r="M199">
        <f t="shared" si="12"/>
        <v>0</v>
      </c>
      <c r="N199" s="415"/>
      <c r="O199" s="415"/>
    </row>
    <row r="200" customFormat="1" ht="20" hidden="1" customHeight="1" spans="1:17">
      <c r="A200" s="418">
        <v>2013501</v>
      </c>
      <c r="B200" s="421" t="s">
        <v>165</v>
      </c>
      <c r="C200" s="461">
        <v>0</v>
      </c>
      <c r="D200" s="461"/>
      <c r="E200" s="461">
        <v>0</v>
      </c>
      <c r="F200" s="457"/>
      <c r="G200" s="458">
        <f t="shared" si="13"/>
        <v>0</v>
      </c>
      <c r="H200" s="457"/>
      <c r="I200" s="461"/>
      <c r="J200" s="459">
        <f t="shared" si="14"/>
        <v>0</v>
      </c>
      <c r="K200" s="460"/>
      <c r="M200">
        <f t="shared" si="12"/>
        <v>0</v>
      </c>
      <c r="N200" s="415"/>
      <c r="O200" s="415"/>
    </row>
    <row r="201" customFormat="1" ht="20" hidden="1" customHeight="1" spans="1:17">
      <c r="A201" s="418">
        <v>2013502</v>
      </c>
      <c r="B201" s="422" t="s">
        <v>166</v>
      </c>
      <c r="C201" s="461">
        <v>0</v>
      </c>
      <c r="D201" s="461"/>
      <c r="E201" s="461">
        <v>0</v>
      </c>
      <c r="F201" s="457"/>
      <c r="G201" s="458">
        <f t="shared" si="13"/>
        <v>0</v>
      </c>
      <c r="H201" s="457"/>
      <c r="I201" s="461"/>
      <c r="J201" s="459">
        <f t="shared" si="14"/>
        <v>0</v>
      </c>
      <c r="K201" s="460"/>
      <c r="M201">
        <f t="shared" si="12"/>
        <v>0</v>
      </c>
      <c r="N201" s="415"/>
      <c r="O201" s="415"/>
    </row>
    <row r="202" customFormat="1" ht="20" hidden="1" customHeight="1" spans="1:17">
      <c r="A202" s="418">
        <v>2013503</v>
      </c>
      <c r="B202" s="419" t="s">
        <v>167</v>
      </c>
      <c r="C202" s="461">
        <v>0</v>
      </c>
      <c r="D202" s="461"/>
      <c r="E202" s="461">
        <v>0</v>
      </c>
      <c r="F202" s="457"/>
      <c r="G202" s="458">
        <f t="shared" si="13"/>
        <v>0</v>
      </c>
      <c r="H202" s="457"/>
      <c r="I202" s="461"/>
      <c r="J202" s="459">
        <f t="shared" si="14"/>
        <v>0</v>
      </c>
      <c r="K202" s="460"/>
      <c r="M202">
        <f t="shared" si="12"/>
        <v>0</v>
      </c>
      <c r="N202" s="415"/>
      <c r="O202" s="415"/>
    </row>
    <row r="203" customFormat="1" ht="20" hidden="1" customHeight="1" spans="1:17">
      <c r="A203" s="418">
        <v>2013550</v>
      </c>
      <c r="B203" s="419" t="s">
        <v>174</v>
      </c>
      <c r="C203" s="461">
        <v>0</v>
      </c>
      <c r="D203" s="461"/>
      <c r="E203" s="461">
        <v>0</v>
      </c>
      <c r="F203" s="457"/>
      <c r="G203" s="458">
        <f t="shared" si="13"/>
        <v>0</v>
      </c>
      <c r="H203" s="457"/>
      <c r="I203" s="461"/>
      <c r="J203" s="459">
        <f t="shared" si="14"/>
        <v>0</v>
      </c>
      <c r="K203" s="460"/>
      <c r="M203">
        <f t="shared" si="12"/>
        <v>0</v>
      </c>
      <c r="N203" s="415"/>
      <c r="O203" s="415"/>
    </row>
    <row r="204" customFormat="1" ht="20" hidden="1" customHeight="1" spans="1:17">
      <c r="A204" s="418">
        <v>2013599</v>
      </c>
      <c r="B204" s="419" t="s">
        <v>275</v>
      </c>
      <c r="C204" s="461">
        <v>0</v>
      </c>
      <c r="D204" s="461"/>
      <c r="E204" s="461">
        <v>0</v>
      </c>
      <c r="F204" s="457"/>
      <c r="G204" s="458">
        <f t="shared" si="13"/>
        <v>0</v>
      </c>
      <c r="H204" s="457"/>
      <c r="I204" s="461"/>
      <c r="J204" s="459">
        <f t="shared" si="14"/>
        <v>0</v>
      </c>
      <c r="K204" s="460"/>
      <c r="M204">
        <f t="shared" si="12"/>
        <v>0</v>
      </c>
      <c r="N204" s="415"/>
      <c r="O204" s="415"/>
    </row>
    <row r="205" customFormat="1" ht="20" hidden="1" customHeight="1" spans="1:17">
      <c r="A205" s="416">
        <v>20136</v>
      </c>
      <c r="B205" s="426" t="s">
        <v>276</v>
      </c>
      <c r="C205" s="456">
        <f>SUM(C206:C210)</f>
        <v>322.620821</v>
      </c>
      <c r="D205" s="456">
        <f>SUM(D206:D210)</f>
        <v>310.799577</v>
      </c>
      <c r="E205" s="456">
        <f>SUM(E206:E210)</f>
        <v>335</v>
      </c>
      <c r="F205" s="457">
        <f>E205/D205*100</f>
        <v>107.786504484207</v>
      </c>
      <c r="G205" s="458">
        <f t="shared" si="13"/>
        <v>12.379179</v>
      </c>
      <c r="H205" s="457">
        <f>G205/C205*100</f>
        <v>3.8370676020318</v>
      </c>
      <c r="I205" s="456">
        <f>SUM(I206:I210)</f>
        <v>415.85</v>
      </c>
      <c r="J205" s="459">
        <f t="shared" si="14"/>
        <v>105.050423</v>
      </c>
      <c r="K205" s="460">
        <f>J205/D205*100</f>
        <v>33.8000534022606</v>
      </c>
      <c r="M205">
        <f t="shared" si="12"/>
        <v>0</v>
      </c>
      <c r="N205" s="415"/>
      <c r="O205" s="415"/>
    </row>
    <row r="206" customFormat="1" ht="20" hidden="1" customHeight="1" spans="1:17">
      <c r="A206" s="418">
        <v>2013601</v>
      </c>
      <c r="B206" s="421" t="s">
        <v>165</v>
      </c>
      <c r="C206" s="464">
        <v>220.954097</v>
      </c>
      <c r="D206" s="461">
        <v>219.966024</v>
      </c>
      <c r="E206" s="463">
        <v>239</v>
      </c>
      <c r="F206" s="457">
        <f>E206/D206*100</f>
        <v>108.653143632764</v>
      </c>
      <c r="G206" s="458">
        <f t="shared" si="13"/>
        <v>18.045903</v>
      </c>
      <c r="H206" s="457">
        <f>G206/C206*100</f>
        <v>8.16726335696776</v>
      </c>
      <c r="I206" s="461">
        <v>227.58</v>
      </c>
      <c r="J206" s="459">
        <f t="shared" si="14"/>
        <v>7.61397600000001</v>
      </c>
      <c r="K206" s="460">
        <f>J206/D206*100</f>
        <v>3.46143275290552</v>
      </c>
      <c r="M206">
        <f t="shared" si="12"/>
        <v>197</v>
      </c>
      <c r="N206" s="415">
        <v>197</v>
      </c>
      <c r="O206" s="415"/>
    </row>
    <row r="207" customFormat="1" ht="20" hidden="1" customHeight="1" spans="1:17">
      <c r="A207" s="418">
        <v>2013602</v>
      </c>
      <c r="B207" s="421" t="s">
        <v>166</v>
      </c>
      <c r="C207" s="464">
        <v>101.666724</v>
      </c>
      <c r="D207" s="461">
        <v>90.833553</v>
      </c>
      <c r="E207" s="463">
        <v>96</v>
      </c>
      <c r="F207" s="457">
        <f>E207/D207*100</f>
        <v>105.687817804507</v>
      </c>
      <c r="G207" s="458">
        <f t="shared" si="13"/>
        <v>-5.666724</v>
      </c>
      <c r="H207" s="457">
        <f>G207/C207*100</f>
        <v>-5.57382374197481</v>
      </c>
      <c r="I207" s="461">
        <v>188.27</v>
      </c>
      <c r="J207" s="459">
        <f t="shared" si="14"/>
        <v>97.436447</v>
      </c>
      <c r="K207" s="460">
        <f>J207/D207*100</f>
        <v>107.269223521401</v>
      </c>
      <c r="M207">
        <f t="shared" si="12"/>
        <v>178</v>
      </c>
      <c r="N207" s="415">
        <v>178</v>
      </c>
      <c r="O207" s="415"/>
    </row>
    <row r="208" customFormat="1" ht="20" hidden="1" customHeight="1" spans="1:17">
      <c r="A208" s="418">
        <v>2013603</v>
      </c>
      <c r="B208" s="419" t="s">
        <v>167</v>
      </c>
      <c r="C208" s="464">
        <v>0</v>
      </c>
      <c r="D208" s="461"/>
      <c r="E208" s="463"/>
      <c r="F208" s="457"/>
      <c r="G208" s="458">
        <f t="shared" si="13"/>
        <v>0</v>
      </c>
      <c r="H208" s="457"/>
      <c r="I208" s="461"/>
      <c r="J208" s="459">
        <f t="shared" si="14"/>
        <v>0</v>
      </c>
      <c r="K208" s="460"/>
      <c r="M208">
        <f t="shared" si="12"/>
        <v>0</v>
      </c>
      <c r="N208" s="415"/>
      <c r="O208" s="415"/>
    </row>
    <row r="209" customFormat="1" ht="20" hidden="1" customHeight="1" spans="1:16">
      <c r="A209" s="418">
        <v>2013650</v>
      </c>
      <c r="B209" s="419" t="s">
        <v>174</v>
      </c>
      <c r="C209" s="464">
        <v>0</v>
      </c>
      <c r="D209" s="461"/>
      <c r="E209" s="463"/>
      <c r="F209" s="457"/>
      <c r="G209" s="458">
        <f t="shared" si="13"/>
        <v>0</v>
      </c>
      <c r="H209" s="457"/>
      <c r="I209" s="461"/>
      <c r="J209" s="459">
        <f t="shared" si="14"/>
        <v>0</v>
      </c>
      <c r="K209" s="460"/>
      <c r="M209">
        <f t="shared" si="12"/>
        <v>0</v>
      </c>
      <c r="N209" s="415"/>
      <c r="O209" s="415"/>
    </row>
    <row r="210" customFormat="1" ht="20" hidden="1" customHeight="1" spans="1:16">
      <c r="A210" s="418">
        <v>2013699</v>
      </c>
      <c r="B210" s="419" t="s">
        <v>277</v>
      </c>
      <c r="C210" s="464">
        <v>0</v>
      </c>
      <c r="D210" s="461"/>
      <c r="E210" s="463"/>
      <c r="F210" s="457"/>
      <c r="G210" s="458">
        <f t="shared" si="13"/>
        <v>0</v>
      </c>
      <c r="H210" s="457"/>
      <c r="I210" s="461"/>
      <c r="J210" s="459">
        <f t="shared" si="14"/>
        <v>0</v>
      </c>
      <c r="K210" s="460"/>
      <c r="M210">
        <f t="shared" si="12"/>
        <v>0</v>
      </c>
      <c r="N210" s="415"/>
      <c r="O210" s="415"/>
    </row>
    <row r="211" customFormat="1" ht="20" hidden="1" customHeight="1" spans="1:16">
      <c r="A211" s="416">
        <v>20137</v>
      </c>
      <c r="B211" s="426" t="s">
        <v>278</v>
      </c>
      <c r="C211" s="456">
        <v>0</v>
      </c>
      <c r="D211" s="456"/>
      <c r="E211" s="456">
        <v>0</v>
      </c>
      <c r="F211" s="457"/>
      <c r="G211" s="458">
        <f t="shared" si="13"/>
        <v>0</v>
      </c>
      <c r="H211" s="457"/>
      <c r="I211" s="456"/>
      <c r="J211" s="459">
        <f t="shared" si="14"/>
        <v>0</v>
      </c>
      <c r="K211" s="460"/>
      <c r="M211">
        <f t="shared" si="12"/>
        <v>0</v>
      </c>
      <c r="N211" s="415"/>
      <c r="O211" s="415"/>
    </row>
    <row r="212" customFormat="1" ht="20" hidden="1" customHeight="1" spans="1:16">
      <c r="A212" s="418">
        <v>2013701</v>
      </c>
      <c r="B212" s="421" t="s">
        <v>165</v>
      </c>
      <c r="C212" s="464">
        <v>0</v>
      </c>
      <c r="D212" s="461"/>
      <c r="E212" s="464">
        <v>0</v>
      </c>
      <c r="F212" s="457"/>
      <c r="G212" s="458">
        <f t="shared" si="13"/>
        <v>0</v>
      </c>
      <c r="H212" s="457"/>
      <c r="I212" s="461"/>
      <c r="J212" s="459">
        <f t="shared" si="14"/>
        <v>0</v>
      </c>
      <c r="K212" s="460"/>
      <c r="M212">
        <f t="shared" si="12"/>
        <v>0</v>
      </c>
      <c r="N212" s="415"/>
      <c r="O212" s="415"/>
    </row>
    <row r="213" customFormat="1" ht="20" hidden="1" customHeight="1" spans="1:16">
      <c r="A213" s="418">
        <v>2013702</v>
      </c>
      <c r="B213" s="421" t="s">
        <v>166</v>
      </c>
      <c r="C213" s="464">
        <v>0</v>
      </c>
      <c r="D213" s="461"/>
      <c r="E213" s="464">
        <v>0</v>
      </c>
      <c r="F213" s="457"/>
      <c r="G213" s="458">
        <f t="shared" si="13"/>
        <v>0</v>
      </c>
      <c r="H213" s="457"/>
      <c r="I213" s="461"/>
      <c r="J213" s="459">
        <f t="shared" si="14"/>
        <v>0</v>
      </c>
      <c r="K213" s="460"/>
      <c r="M213">
        <f t="shared" si="12"/>
        <v>0</v>
      </c>
      <c r="N213" s="415"/>
      <c r="O213" s="415"/>
    </row>
    <row r="214" customFormat="1" ht="20" hidden="1" customHeight="1" spans="1:16">
      <c r="A214" s="418">
        <v>2013703</v>
      </c>
      <c r="B214" s="419" t="s">
        <v>167</v>
      </c>
      <c r="C214" s="464">
        <v>0</v>
      </c>
      <c r="D214" s="461"/>
      <c r="E214" s="464">
        <v>0</v>
      </c>
      <c r="F214" s="457"/>
      <c r="G214" s="458">
        <f t="shared" si="13"/>
        <v>0</v>
      </c>
      <c r="H214" s="457"/>
      <c r="I214" s="461"/>
      <c r="J214" s="459">
        <f t="shared" si="14"/>
        <v>0</v>
      </c>
      <c r="K214" s="460"/>
      <c r="M214">
        <f t="shared" si="12"/>
        <v>0</v>
      </c>
      <c r="N214" s="415"/>
      <c r="O214" s="415"/>
    </row>
    <row r="215" customFormat="1" ht="20" hidden="1" customHeight="1" spans="1:16">
      <c r="A215" s="418">
        <v>2013750</v>
      </c>
      <c r="B215" s="419" t="s">
        <v>174</v>
      </c>
      <c r="C215" s="464">
        <v>0</v>
      </c>
      <c r="D215" s="461"/>
      <c r="E215" s="464">
        <v>0</v>
      </c>
      <c r="F215" s="457"/>
      <c r="G215" s="458">
        <f t="shared" si="13"/>
        <v>0</v>
      </c>
      <c r="H215" s="457"/>
      <c r="I215" s="461"/>
      <c r="J215" s="459">
        <f t="shared" si="14"/>
        <v>0</v>
      </c>
      <c r="K215" s="460"/>
      <c r="M215">
        <f t="shared" si="12"/>
        <v>0</v>
      </c>
      <c r="N215" s="415"/>
      <c r="O215" s="415"/>
    </row>
    <row r="216" customFormat="1" ht="20" hidden="1" customHeight="1" spans="1:16">
      <c r="A216" s="418">
        <v>2013799</v>
      </c>
      <c r="B216" s="419" t="s">
        <v>279</v>
      </c>
      <c r="C216" s="464">
        <v>0</v>
      </c>
      <c r="D216" s="461"/>
      <c r="E216" s="464">
        <v>0</v>
      </c>
      <c r="F216" s="457"/>
      <c r="G216" s="458">
        <f t="shared" si="13"/>
        <v>0</v>
      </c>
      <c r="H216" s="457"/>
      <c r="I216" s="461"/>
      <c r="J216" s="459">
        <f t="shared" si="14"/>
        <v>0</v>
      </c>
      <c r="K216" s="460"/>
      <c r="M216">
        <f t="shared" si="12"/>
        <v>0</v>
      </c>
      <c r="N216" s="415"/>
      <c r="O216" s="415"/>
    </row>
    <row r="217" customFormat="1" ht="20" hidden="1" customHeight="1" spans="1:16">
      <c r="A217" s="416">
        <v>20138</v>
      </c>
      <c r="B217" s="426" t="s">
        <v>280</v>
      </c>
      <c r="C217" s="456">
        <f>SUM(C218:C231)</f>
        <v>1728.05817</v>
      </c>
      <c r="D217" s="456">
        <f>SUM(D218:D231)</f>
        <v>1653.364121</v>
      </c>
      <c r="E217" s="456">
        <f>SUM(E218:E231)</f>
        <v>1752</v>
      </c>
      <c r="F217" s="457">
        <f>E217/D217*100</f>
        <v>105.965768686231</v>
      </c>
      <c r="G217" s="458">
        <f t="shared" si="13"/>
        <v>23.94183</v>
      </c>
      <c r="H217" s="457">
        <f>G217/C217*100</f>
        <v>1.38547592989882</v>
      </c>
      <c r="I217" s="456">
        <f>SUM(I218:I231)</f>
        <v>1601.811942</v>
      </c>
      <c r="J217" s="459">
        <f t="shared" si="14"/>
        <v>-51.552179</v>
      </c>
      <c r="K217" s="460">
        <f>J217/D217*100</f>
        <v>-3.11801728035684</v>
      </c>
      <c r="M217">
        <f t="shared" si="12"/>
        <v>0</v>
      </c>
      <c r="N217" s="415"/>
      <c r="O217" s="415"/>
    </row>
    <row r="218" customFormat="1" ht="20" hidden="1" customHeight="1" spans="1:16">
      <c r="A218" s="418">
        <v>2013801</v>
      </c>
      <c r="B218" s="421" t="s">
        <v>165</v>
      </c>
      <c r="C218" s="464">
        <v>1364.467102</v>
      </c>
      <c r="D218" s="461">
        <v>1419.400106</v>
      </c>
      <c r="E218" s="464">
        <v>1404</v>
      </c>
      <c r="F218" s="457">
        <f>E218/D218*100</f>
        <v>98.9150271347098</v>
      </c>
      <c r="G218" s="458">
        <f t="shared" si="13"/>
        <v>39.5328979999999</v>
      </c>
      <c r="H218" s="457">
        <f>G218/C218*100</f>
        <v>2.89731411934034</v>
      </c>
      <c r="I218" s="461">
        <v>1295.25</v>
      </c>
      <c r="J218" s="459">
        <f t="shared" si="14"/>
        <v>-124.150106</v>
      </c>
      <c r="K218" s="460">
        <f>J218/D218*100</f>
        <v>-8.74666033031845</v>
      </c>
      <c r="M218">
        <f t="shared" si="12"/>
        <v>1427</v>
      </c>
      <c r="N218" s="415">
        <v>1427</v>
      </c>
      <c r="O218" s="415"/>
    </row>
    <row r="219" customFormat="1" ht="20" hidden="1" customHeight="1" spans="1:16">
      <c r="A219" s="418">
        <v>2013802</v>
      </c>
      <c r="B219" s="421" t="s">
        <v>166</v>
      </c>
      <c r="C219" s="464">
        <v>134.680047</v>
      </c>
      <c r="D219" s="466">
        <f>22.113669+35</f>
        <v>57.113669</v>
      </c>
      <c r="E219" s="464">
        <v>134</v>
      </c>
      <c r="F219" s="457">
        <f>E219/D219*100</f>
        <v>234.619842055673</v>
      </c>
      <c r="G219" s="458">
        <f t="shared" si="13"/>
        <v>-0.680047000000002</v>
      </c>
      <c r="H219" s="457">
        <f>G219/C219*100</f>
        <v>-0.504935226225457</v>
      </c>
      <c r="I219" s="462">
        <v>69.773942</v>
      </c>
      <c r="J219" s="459">
        <f t="shared" si="14"/>
        <v>12.660273</v>
      </c>
      <c r="K219" s="460">
        <f>J219/D219*100</f>
        <v>22.1668003853859</v>
      </c>
      <c r="M219">
        <f t="shared" si="12"/>
        <v>38</v>
      </c>
      <c r="N219" s="415">
        <v>38</v>
      </c>
      <c r="O219" s="415"/>
      <c r="P219">
        <v>35</v>
      </c>
    </row>
    <row r="220" customFormat="1" ht="20" hidden="1" customHeight="1" spans="1:16">
      <c r="A220" s="418">
        <v>2013803</v>
      </c>
      <c r="B220" s="419" t="s">
        <v>167</v>
      </c>
      <c r="C220" s="464">
        <v>0</v>
      </c>
      <c r="D220" s="461"/>
      <c r="E220" s="464">
        <v>0</v>
      </c>
      <c r="F220" s="457"/>
      <c r="G220" s="458">
        <f t="shared" si="13"/>
        <v>0</v>
      </c>
      <c r="H220" s="457"/>
      <c r="I220" s="461"/>
      <c r="J220" s="459">
        <f t="shared" si="14"/>
        <v>0</v>
      </c>
      <c r="K220" s="460"/>
      <c r="M220">
        <f t="shared" si="12"/>
        <v>0</v>
      </c>
      <c r="N220" s="415"/>
      <c r="O220" s="415"/>
    </row>
    <row r="221" customFormat="1" ht="20" hidden="1" customHeight="1" spans="1:16">
      <c r="A221" s="418">
        <v>2013804</v>
      </c>
      <c r="B221" s="421" t="s">
        <v>281</v>
      </c>
      <c r="C221" s="464">
        <v>0</v>
      </c>
      <c r="D221" s="461"/>
      <c r="E221" s="464">
        <v>0</v>
      </c>
      <c r="F221" s="457"/>
      <c r="G221" s="458">
        <f t="shared" si="13"/>
        <v>0</v>
      </c>
      <c r="H221" s="457"/>
      <c r="I221" s="461"/>
      <c r="J221" s="459">
        <f t="shared" si="14"/>
        <v>0</v>
      </c>
      <c r="K221" s="460"/>
      <c r="M221">
        <f t="shared" si="12"/>
        <v>0</v>
      </c>
      <c r="N221" s="415"/>
      <c r="O221" s="415"/>
    </row>
    <row r="222" customFormat="1" ht="20" hidden="1" customHeight="1" spans="1:16">
      <c r="A222" s="418">
        <v>2013805</v>
      </c>
      <c r="B222" s="421" t="s">
        <v>282</v>
      </c>
      <c r="C222" s="464">
        <v>0</v>
      </c>
      <c r="D222" s="461"/>
      <c r="E222" s="464">
        <v>18</v>
      </c>
      <c r="F222" s="457"/>
      <c r="G222" s="458">
        <f t="shared" si="13"/>
        <v>18</v>
      </c>
      <c r="H222" s="457"/>
      <c r="I222" s="461">
        <v>0.028</v>
      </c>
      <c r="J222" s="459">
        <f t="shared" si="14"/>
        <v>0.028</v>
      </c>
      <c r="K222" s="460"/>
      <c r="M222">
        <f t="shared" si="12"/>
        <v>0</v>
      </c>
      <c r="N222" s="415"/>
      <c r="O222" s="415"/>
    </row>
    <row r="223" customFormat="1" ht="20" hidden="1" customHeight="1" spans="1:16">
      <c r="A223" s="418">
        <v>2013808</v>
      </c>
      <c r="B223" s="421" t="s">
        <v>207</v>
      </c>
      <c r="C223" s="464">
        <v>0</v>
      </c>
      <c r="D223" s="461"/>
      <c r="E223" s="464">
        <v>0</v>
      </c>
      <c r="F223" s="457"/>
      <c r="G223" s="458">
        <f t="shared" si="13"/>
        <v>0</v>
      </c>
      <c r="H223" s="457"/>
      <c r="I223" s="461"/>
      <c r="J223" s="459">
        <f t="shared" si="14"/>
        <v>0</v>
      </c>
      <c r="K223" s="460"/>
      <c r="M223">
        <f t="shared" si="12"/>
        <v>0</v>
      </c>
      <c r="N223" s="415"/>
      <c r="O223" s="415"/>
    </row>
    <row r="224" customFormat="1" ht="20" hidden="1" customHeight="1" spans="1:16">
      <c r="A224" s="418">
        <v>2013810</v>
      </c>
      <c r="B224" s="421" t="s">
        <v>283</v>
      </c>
      <c r="C224" s="464">
        <v>0</v>
      </c>
      <c r="D224" s="461"/>
      <c r="E224" s="464">
        <v>0</v>
      </c>
      <c r="F224" s="457"/>
      <c r="G224" s="458">
        <f t="shared" si="13"/>
        <v>0</v>
      </c>
      <c r="H224" s="457"/>
      <c r="I224" s="461"/>
      <c r="J224" s="459">
        <f t="shared" si="14"/>
        <v>0</v>
      </c>
      <c r="K224" s="460"/>
      <c r="M224">
        <f t="shared" si="12"/>
        <v>0</v>
      </c>
      <c r="N224" s="415"/>
      <c r="O224" s="415"/>
    </row>
    <row r="225" customFormat="1" ht="20" hidden="1" customHeight="1" spans="1:15">
      <c r="A225" s="418">
        <v>2013812</v>
      </c>
      <c r="B225" s="421" t="s">
        <v>284</v>
      </c>
      <c r="C225" s="464">
        <v>0</v>
      </c>
      <c r="D225" s="461">
        <v>5</v>
      </c>
      <c r="E225" s="464">
        <v>5</v>
      </c>
      <c r="F225" s="457">
        <f>E225/D225*100</f>
        <v>100</v>
      </c>
      <c r="G225" s="458">
        <f t="shared" si="13"/>
        <v>5</v>
      </c>
      <c r="H225" s="457"/>
      <c r="I225" s="461">
        <v>5</v>
      </c>
      <c r="J225" s="459">
        <f t="shared" si="14"/>
        <v>0</v>
      </c>
      <c r="K225" s="460">
        <f>J225/D225*100</f>
        <v>0</v>
      </c>
      <c r="M225">
        <f t="shared" si="12"/>
        <v>0</v>
      </c>
      <c r="N225" s="415"/>
      <c r="O225" s="415"/>
    </row>
    <row r="226" customFormat="1" ht="20" hidden="1" customHeight="1" spans="1:15">
      <c r="A226" s="418">
        <v>2013813</v>
      </c>
      <c r="B226" s="419" t="s">
        <v>285</v>
      </c>
      <c r="C226" s="464">
        <v>0</v>
      </c>
      <c r="D226" s="461"/>
      <c r="E226" s="464">
        <v>0</v>
      </c>
      <c r="F226" s="457"/>
      <c r="G226" s="458">
        <f t="shared" si="13"/>
        <v>0</v>
      </c>
      <c r="H226" s="457"/>
      <c r="I226" s="461"/>
      <c r="J226" s="459">
        <f t="shared" si="14"/>
        <v>0</v>
      </c>
      <c r="K226" s="460"/>
      <c r="M226">
        <f t="shared" si="12"/>
        <v>0</v>
      </c>
      <c r="N226" s="415"/>
      <c r="O226" s="415"/>
    </row>
    <row r="227" customFormat="1" ht="20" hidden="1" customHeight="1" spans="1:15">
      <c r="A227" s="418">
        <v>2013814</v>
      </c>
      <c r="B227" s="419" t="s">
        <v>286</v>
      </c>
      <c r="C227" s="464">
        <v>0</v>
      </c>
      <c r="D227" s="461"/>
      <c r="E227" s="464">
        <v>0</v>
      </c>
      <c r="F227" s="457"/>
      <c r="G227" s="458">
        <f t="shared" si="13"/>
        <v>0</v>
      </c>
      <c r="H227" s="457"/>
      <c r="I227" s="461"/>
      <c r="J227" s="459">
        <f t="shared" si="14"/>
        <v>0</v>
      </c>
      <c r="K227" s="460"/>
      <c r="M227">
        <f t="shared" si="12"/>
        <v>0</v>
      </c>
      <c r="N227" s="415"/>
      <c r="O227" s="415"/>
    </row>
    <row r="228" customFormat="1" ht="20" hidden="1" customHeight="1" spans="1:15">
      <c r="A228" s="418">
        <v>2013815</v>
      </c>
      <c r="B228" s="421" t="s">
        <v>287</v>
      </c>
      <c r="C228" s="464">
        <v>0</v>
      </c>
      <c r="D228" s="461"/>
      <c r="E228" s="464">
        <v>0</v>
      </c>
      <c r="F228" s="457"/>
      <c r="G228" s="458">
        <f t="shared" si="13"/>
        <v>0</v>
      </c>
      <c r="H228" s="457"/>
      <c r="I228" s="461"/>
      <c r="J228" s="459">
        <f t="shared" si="14"/>
        <v>0</v>
      </c>
      <c r="K228" s="460"/>
      <c r="M228">
        <f t="shared" ref="M228:M235" si="15">N228+O228</f>
        <v>0</v>
      </c>
      <c r="N228" s="415"/>
      <c r="O228" s="415"/>
    </row>
    <row r="229" customFormat="1" ht="20" hidden="1" customHeight="1" spans="1:15">
      <c r="A229" s="418">
        <v>2013816</v>
      </c>
      <c r="B229" s="421" t="s">
        <v>288</v>
      </c>
      <c r="C229" s="464">
        <v>0</v>
      </c>
      <c r="D229" s="461"/>
      <c r="E229" s="464">
        <v>0</v>
      </c>
      <c r="F229" s="457"/>
      <c r="G229" s="458">
        <f t="shared" si="13"/>
        <v>0</v>
      </c>
      <c r="H229" s="457"/>
      <c r="I229" s="461"/>
      <c r="J229" s="459">
        <f t="shared" si="14"/>
        <v>0</v>
      </c>
      <c r="K229" s="460"/>
      <c r="M229">
        <f t="shared" si="15"/>
        <v>0</v>
      </c>
      <c r="N229" s="415"/>
      <c r="O229" s="415"/>
    </row>
    <row r="230" customFormat="1" ht="20" hidden="1" customHeight="1" spans="1:15">
      <c r="A230" s="418">
        <v>2013850</v>
      </c>
      <c r="B230" s="419" t="s">
        <v>174</v>
      </c>
      <c r="C230" s="464">
        <v>225.414521</v>
      </c>
      <c r="D230" s="461">
        <v>171.850346</v>
      </c>
      <c r="E230" s="464">
        <v>191</v>
      </c>
      <c r="F230" s="457">
        <f>E230/D230*100</f>
        <v>111.143215271734</v>
      </c>
      <c r="G230" s="458">
        <f t="shared" si="13"/>
        <v>-34.414521</v>
      </c>
      <c r="H230" s="457">
        <f>G230/C230*100</f>
        <v>-15.2672156378071</v>
      </c>
      <c r="I230" s="461">
        <v>201.76</v>
      </c>
      <c r="J230" s="459">
        <f t="shared" si="14"/>
        <v>29.909654</v>
      </c>
      <c r="K230" s="460">
        <f>J230/D230*100</f>
        <v>17.4044770325921</v>
      </c>
      <c r="M230">
        <f t="shared" si="15"/>
        <v>144</v>
      </c>
      <c r="N230" s="415">
        <v>144</v>
      </c>
      <c r="O230" s="415"/>
    </row>
    <row r="231" customFormat="1" ht="20" hidden="1" customHeight="1" spans="1:15">
      <c r="A231" s="418">
        <v>2013899</v>
      </c>
      <c r="B231" s="421" t="s">
        <v>289</v>
      </c>
      <c r="C231" s="464">
        <v>3.4965</v>
      </c>
      <c r="D231" s="461"/>
      <c r="E231" s="464"/>
      <c r="F231" s="457"/>
      <c r="G231" s="458">
        <f t="shared" si="13"/>
        <v>-3.4965</v>
      </c>
      <c r="H231" s="457">
        <f>G231/C231*100</f>
        <v>-100</v>
      </c>
      <c r="I231" s="461">
        <v>30</v>
      </c>
      <c r="J231" s="459">
        <f t="shared" si="14"/>
        <v>30</v>
      </c>
      <c r="K231" s="460"/>
      <c r="M231">
        <f t="shared" si="15"/>
        <v>0</v>
      </c>
      <c r="N231" s="415"/>
      <c r="O231" s="415"/>
    </row>
    <row r="232" customFormat="1" ht="20" hidden="1" customHeight="1" spans="1:15">
      <c r="A232" s="416">
        <v>20139</v>
      </c>
      <c r="B232" s="426" t="s">
        <v>290</v>
      </c>
      <c r="C232" s="456">
        <f>SUM(C233:C238)</f>
        <v>12.408622</v>
      </c>
      <c r="D232" s="456">
        <f>SUM(D233:D238)</f>
        <v>99.430529</v>
      </c>
      <c r="E232" s="456">
        <f>SUM(E233:E238)</f>
        <v>169</v>
      </c>
      <c r="F232" s="457">
        <f>E232/D232*100</f>
        <v>169.967918002327</v>
      </c>
      <c r="G232" s="458">
        <f t="shared" si="13"/>
        <v>156.591378</v>
      </c>
      <c r="H232" s="457">
        <f>G232/C232*100</f>
        <v>1261.95622688805</v>
      </c>
      <c r="I232" s="456">
        <f>SUM(I233:I238)</f>
        <v>277.030239</v>
      </c>
      <c r="J232" s="459">
        <f t="shared" si="14"/>
        <v>177.59971</v>
      </c>
      <c r="K232" s="460">
        <f>J232/D232*100</f>
        <v>178.616881340338</v>
      </c>
      <c r="M232">
        <f t="shared" si="15"/>
        <v>0</v>
      </c>
      <c r="N232" s="415"/>
      <c r="O232" s="415"/>
    </row>
    <row r="233" customFormat="1" ht="20" hidden="1" customHeight="1" spans="1:15">
      <c r="A233" s="418">
        <v>2013901</v>
      </c>
      <c r="B233" s="421" t="s">
        <v>165</v>
      </c>
      <c r="C233" s="464">
        <v>6.917364</v>
      </c>
      <c r="D233" s="466">
        <v>46.182141</v>
      </c>
      <c r="E233" s="464">
        <v>75</v>
      </c>
      <c r="F233" s="457">
        <f>E233/D233*100</f>
        <v>162.400439598502</v>
      </c>
      <c r="G233" s="458">
        <f t="shared" si="13"/>
        <v>68.082636</v>
      </c>
      <c r="H233" s="457">
        <f>G233/C233*100</f>
        <v>984.228038310547</v>
      </c>
      <c r="I233" s="462">
        <v>68.730097</v>
      </c>
      <c r="J233" s="459">
        <f t="shared" si="14"/>
        <v>22.547956</v>
      </c>
      <c r="K233" s="460">
        <f>J233/D233*100</f>
        <v>48.8239728859691</v>
      </c>
      <c r="M233">
        <f t="shared" si="15"/>
        <v>0</v>
      </c>
      <c r="N233" s="415"/>
      <c r="O233" s="415"/>
    </row>
    <row r="234" customFormat="1" ht="20" hidden="1" customHeight="1" spans="1:15">
      <c r="A234" s="418">
        <v>2013902</v>
      </c>
      <c r="B234" s="421" t="s">
        <v>166</v>
      </c>
      <c r="C234" s="464">
        <v>3.010884</v>
      </c>
      <c r="D234" s="466">
        <f>13.963613+11.57</f>
        <v>25.533613</v>
      </c>
      <c r="E234" s="464">
        <v>51</v>
      </c>
      <c r="F234" s="457">
        <f>E234/D234*100</f>
        <v>199.736715677488</v>
      </c>
      <c r="G234" s="458">
        <f t="shared" si="13"/>
        <v>47.989116</v>
      </c>
      <c r="H234" s="457">
        <f>G234/C234*100</f>
        <v>1593.85469516594</v>
      </c>
      <c r="I234" s="462">
        <v>61.084313</v>
      </c>
      <c r="J234" s="459">
        <f t="shared" si="14"/>
        <v>35.5507</v>
      </c>
      <c r="K234" s="460">
        <f>J234/D234*100</f>
        <v>139.230981530111</v>
      </c>
      <c r="M234">
        <f t="shared" si="15"/>
        <v>0</v>
      </c>
      <c r="N234" s="415"/>
      <c r="O234" s="415"/>
    </row>
    <row r="235" customFormat="1" ht="20" hidden="1" customHeight="1" spans="1:15">
      <c r="A235" s="418">
        <v>2013903</v>
      </c>
      <c r="B235" s="419" t="s">
        <v>167</v>
      </c>
      <c r="C235" s="464">
        <v>0</v>
      </c>
      <c r="D235" s="461"/>
      <c r="E235" s="464">
        <v>0</v>
      </c>
      <c r="F235" s="457"/>
      <c r="G235" s="458">
        <f t="shared" si="13"/>
        <v>0</v>
      </c>
      <c r="H235" s="457"/>
      <c r="I235" s="461"/>
      <c r="J235" s="459">
        <f t="shared" si="14"/>
        <v>0</v>
      </c>
      <c r="K235" s="460"/>
      <c r="M235">
        <f t="shared" si="15"/>
        <v>0</v>
      </c>
      <c r="N235" s="415"/>
      <c r="O235" s="415"/>
    </row>
    <row r="236" customFormat="1" ht="20" hidden="1" customHeight="1" spans="1:15">
      <c r="A236" s="418" t="s">
        <v>291</v>
      </c>
      <c r="B236" s="419" t="s">
        <v>262</v>
      </c>
      <c r="C236" s="464"/>
      <c r="D236" s="466">
        <v>1</v>
      </c>
      <c r="E236" s="464"/>
      <c r="F236" s="457">
        <f>E236/D236*100</f>
        <v>0</v>
      </c>
      <c r="G236" s="458">
        <f t="shared" si="13"/>
        <v>0</v>
      </c>
      <c r="H236" s="457"/>
      <c r="I236" s="462">
        <f>100+11.36</f>
        <v>111.36</v>
      </c>
      <c r="J236" s="459">
        <f t="shared" si="14"/>
        <v>110.36</v>
      </c>
      <c r="K236" s="460">
        <f>J236/D236*100</f>
        <v>11036</v>
      </c>
      <c r="N236" s="415"/>
      <c r="O236" s="415"/>
    </row>
    <row r="237" customFormat="1" ht="20" hidden="1" customHeight="1" spans="1:15">
      <c r="A237" s="418">
        <v>2013950</v>
      </c>
      <c r="B237" s="419" t="s">
        <v>174</v>
      </c>
      <c r="C237" s="464">
        <v>2.480374</v>
      </c>
      <c r="D237" s="461">
        <v>26.714775</v>
      </c>
      <c r="E237" s="464">
        <v>43</v>
      </c>
      <c r="F237" s="457">
        <f>E237/D237*100</f>
        <v>160.959618787731</v>
      </c>
      <c r="G237" s="458">
        <f t="shared" si="13"/>
        <v>40.519626</v>
      </c>
      <c r="H237" s="457">
        <f>G237/C237*100</f>
        <v>1633.6095282405</v>
      </c>
      <c r="I237" s="462">
        <v>35.855829</v>
      </c>
      <c r="J237" s="459">
        <f t="shared" si="14"/>
        <v>9.141054</v>
      </c>
      <c r="K237" s="460">
        <f>J237/D237*100</f>
        <v>34.2172224920479</v>
      </c>
      <c r="M237">
        <f t="shared" ref="M237:M300" si="16">N237+O237</f>
        <v>0</v>
      </c>
      <c r="N237" s="415"/>
      <c r="O237" s="415"/>
    </row>
    <row r="238" customFormat="1" ht="20" hidden="1" customHeight="1" spans="1:15">
      <c r="A238" s="418">
        <v>2013999</v>
      </c>
      <c r="B238" s="419" t="s">
        <v>292</v>
      </c>
      <c r="C238" s="464">
        <v>0</v>
      </c>
      <c r="D238" s="461"/>
      <c r="E238" s="464">
        <v>0</v>
      </c>
      <c r="F238" s="457"/>
      <c r="G238" s="458">
        <f t="shared" si="13"/>
        <v>0</v>
      </c>
      <c r="H238" s="457"/>
      <c r="I238" s="461"/>
      <c r="J238" s="459">
        <f t="shared" si="14"/>
        <v>0</v>
      </c>
      <c r="K238" s="460"/>
      <c r="M238">
        <f t="shared" si="16"/>
        <v>0</v>
      </c>
      <c r="N238" s="415"/>
      <c r="O238" s="415"/>
    </row>
    <row r="239" customFormat="1" ht="20" hidden="1" customHeight="1" spans="1:15">
      <c r="A239" s="416">
        <v>20140</v>
      </c>
      <c r="B239" s="426" t="s">
        <v>293</v>
      </c>
      <c r="C239" s="456">
        <f>SUM(C240:C244)</f>
        <v>35.3402</v>
      </c>
      <c r="D239" s="456">
        <f>SUM(D240:D244)</f>
        <v>123.232567</v>
      </c>
      <c r="E239" s="456">
        <f>SUM(E240:E244)</f>
        <v>116</v>
      </c>
      <c r="F239" s="457">
        <f>E239/D239*100</f>
        <v>94.1309613391402</v>
      </c>
      <c r="G239" s="458">
        <f t="shared" si="13"/>
        <v>80.6598</v>
      </c>
      <c r="H239" s="457">
        <f>G239/C239*100</f>
        <v>228.238097124521</v>
      </c>
      <c r="I239" s="456">
        <f>SUM(I240:I244)</f>
        <v>103.401405</v>
      </c>
      <c r="J239" s="459">
        <f t="shared" si="14"/>
        <v>-19.831162</v>
      </c>
      <c r="K239" s="460">
        <f>J239/D239*100</f>
        <v>-16.0924684787261</v>
      </c>
      <c r="M239">
        <f t="shared" si="16"/>
        <v>0</v>
      </c>
      <c r="N239" s="415"/>
      <c r="O239" s="415"/>
    </row>
    <row r="240" customFormat="1" ht="20" hidden="1" customHeight="1" spans="1:15">
      <c r="A240" s="418">
        <v>2014001</v>
      </c>
      <c r="B240" s="421" t="s">
        <v>165</v>
      </c>
      <c r="C240" s="464">
        <v>9.6402</v>
      </c>
      <c r="D240" s="466">
        <v>77.447292</v>
      </c>
      <c r="E240" s="464">
        <v>79</v>
      </c>
      <c r="F240" s="457">
        <f>E240/D240*100</f>
        <v>102.00485770374</v>
      </c>
      <c r="G240" s="458">
        <f t="shared" si="13"/>
        <v>69.3598</v>
      </c>
      <c r="H240" s="457">
        <f>G240/C240*100</f>
        <v>719.485072923798</v>
      </c>
      <c r="I240" s="462">
        <v>90.751405</v>
      </c>
      <c r="J240" s="459">
        <f t="shared" si="14"/>
        <v>13.304113</v>
      </c>
      <c r="K240" s="460">
        <f>J240/D240*100</f>
        <v>17.1782804232845</v>
      </c>
      <c r="M240">
        <f t="shared" si="16"/>
        <v>0</v>
      </c>
      <c r="N240" s="415"/>
      <c r="O240" s="415"/>
    </row>
    <row r="241" customFormat="1" ht="20" hidden="1" customHeight="1" spans="1:15">
      <c r="A241" s="418">
        <v>2014002</v>
      </c>
      <c r="B241" s="421" t="s">
        <v>166</v>
      </c>
      <c r="C241" s="464">
        <v>0</v>
      </c>
      <c r="D241" s="466">
        <v>20.085275</v>
      </c>
      <c r="E241" s="464">
        <v>24</v>
      </c>
      <c r="F241" s="457">
        <f>E241/D241*100</f>
        <v>119.490522285605</v>
      </c>
      <c r="G241" s="458">
        <f t="shared" si="13"/>
        <v>24</v>
      </c>
      <c r="H241" s="457"/>
      <c r="I241" s="462">
        <v>12.65</v>
      </c>
      <c r="J241" s="459">
        <f t="shared" si="14"/>
        <v>-7.435275</v>
      </c>
      <c r="K241" s="460">
        <f>J241/D241*100</f>
        <v>-37.0185372119625</v>
      </c>
      <c r="M241">
        <f t="shared" si="16"/>
        <v>0</v>
      </c>
      <c r="N241" s="415"/>
      <c r="O241" s="415"/>
    </row>
    <row r="242" customFormat="1" ht="20" hidden="1" customHeight="1" spans="1:15">
      <c r="A242" s="418">
        <v>2014003</v>
      </c>
      <c r="B242" s="419" t="s">
        <v>167</v>
      </c>
      <c r="C242" s="464">
        <v>0</v>
      </c>
      <c r="D242" s="461"/>
      <c r="E242" s="464">
        <v>0</v>
      </c>
      <c r="F242" s="457"/>
      <c r="G242" s="458">
        <f t="shared" si="13"/>
        <v>0</v>
      </c>
      <c r="H242" s="457"/>
      <c r="I242" s="461"/>
      <c r="J242" s="459">
        <f t="shared" si="14"/>
        <v>0</v>
      </c>
      <c r="K242" s="460"/>
      <c r="M242">
        <f t="shared" si="16"/>
        <v>0</v>
      </c>
      <c r="N242" s="415"/>
      <c r="O242" s="415"/>
    </row>
    <row r="243" customFormat="1" ht="20" hidden="1" customHeight="1" spans="1:15">
      <c r="A243" s="418">
        <v>2014004</v>
      </c>
      <c r="B243" s="419" t="s">
        <v>294</v>
      </c>
      <c r="C243" s="464">
        <v>25.7</v>
      </c>
      <c r="D243" s="461">
        <v>25.7</v>
      </c>
      <c r="E243" s="464">
        <v>7</v>
      </c>
      <c r="F243" s="457">
        <f>E243/D243*100</f>
        <v>27.2373540856031</v>
      </c>
      <c r="G243" s="458">
        <f t="shared" si="13"/>
        <v>-18.7</v>
      </c>
      <c r="H243" s="457">
        <f>G243/C243*100</f>
        <v>-72.7626459143969</v>
      </c>
      <c r="I243" s="461"/>
      <c r="J243" s="459">
        <f t="shared" si="14"/>
        <v>-25.7</v>
      </c>
      <c r="K243" s="460">
        <f>J243/D243*100</f>
        <v>-100</v>
      </c>
      <c r="M243">
        <f t="shared" si="16"/>
        <v>0</v>
      </c>
      <c r="N243" s="415"/>
      <c r="O243" s="415"/>
    </row>
    <row r="244" customFormat="1" ht="20" hidden="1" customHeight="1" spans="1:15">
      <c r="A244" s="418">
        <v>2014099</v>
      </c>
      <c r="B244" s="419" t="s">
        <v>295</v>
      </c>
      <c r="C244" s="464">
        <v>0</v>
      </c>
      <c r="D244" s="461"/>
      <c r="E244" s="464">
        <v>6</v>
      </c>
      <c r="F244" s="457"/>
      <c r="G244" s="458">
        <f t="shared" si="13"/>
        <v>6</v>
      </c>
      <c r="H244" s="457"/>
      <c r="I244" s="461"/>
      <c r="J244" s="459">
        <f t="shared" si="14"/>
        <v>0</v>
      </c>
      <c r="K244" s="460"/>
      <c r="M244">
        <f t="shared" si="16"/>
        <v>0</v>
      </c>
      <c r="N244" s="415"/>
      <c r="O244" s="415"/>
    </row>
    <row r="245" customFormat="1" ht="20" hidden="1" customHeight="1" spans="1:15">
      <c r="A245" s="416">
        <v>20199</v>
      </c>
      <c r="B245" s="426" t="s">
        <v>296</v>
      </c>
      <c r="C245" s="456">
        <f>SUM(C246:C247)</f>
        <v>2.8664</v>
      </c>
      <c r="D245" s="456">
        <f>SUM(D246:D247)</f>
        <v>0</v>
      </c>
      <c r="E245" s="456">
        <f>SUM(E246:E247)</f>
        <v>0</v>
      </c>
      <c r="F245" s="457"/>
      <c r="G245" s="458">
        <f t="shared" si="13"/>
        <v>-2.8664</v>
      </c>
      <c r="H245" s="457">
        <f>G245/C245*100</f>
        <v>-100</v>
      </c>
      <c r="I245" s="456">
        <f>SUM(I246:I247)</f>
        <v>24</v>
      </c>
      <c r="J245" s="459">
        <f t="shared" si="14"/>
        <v>24</v>
      </c>
      <c r="K245" s="460"/>
      <c r="M245">
        <f t="shared" si="16"/>
        <v>0</v>
      </c>
      <c r="N245" s="415"/>
      <c r="O245" s="415"/>
    </row>
    <row r="246" customFormat="1" ht="20" hidden="1" customHeight="1" spans="1:15">
      <c r="A246" s="418">
        <v>2019901</v>
      </c>
      <c r="B246" s="421" t="s">
        <v>297</v>
      </c>
      <c r="C246" s="464">
        <v>0</v>
      </c>
      <c r="D246" s="461"/>
      <c r="E246" s="464">
        <v>0</v>
      </c>
      <c r="F246" s="457"/>
      <c r="G246" s="458">
        <f t="shared" si="13"/>
        <v>0</v>
      </c>
      <c r="H246" s="457"/>
      <c r="I246" s="461"/>
      <c r="J246" s="459">
        <f t="shared" si="14"/>
        <v>0</v>
      </c>
      <c r="K246" s="460"/>
      <c r="M246">
        <f t="shared" si="16"/>
        <v>0</v>
      </c>
      <c r="N246" s="415"/>
      <c r="O246" s="415"/>
    </row>
    <row r="247" customFormat="1" ht="20" hidden="1" customHeight="1" spans="1:15">
      <c r="A247" s="418">
        <v>2019999</v>
      </c>
      <c r="B247" s="421" t="s">
        <v>298</v>
      </c>
      <c r="C247" s="464">
        <v>2.8664</v>
      </c>
      <c r="D247" s="461"/>
      <c r="E247" s="464"/>
      <c r="F247" s="457"/>
      <c r="G247" s="458">
        <f t="shared" si="13"/>
        <v>-2.8664</v>
      </c>
      <c r="H247" s="457">
        <f>G247/C247*100</f>
        <v>-100</v>
      </c>
      <c r="I247" s="461">
        <v>24</v>
      </c>
      <c r="J247" s="459">
        <f t="shared" si="14"/>
        <v>24</v>
      </c>
      <c r="K247" s="460"/>
      <c r="M247">
        <f t="shared" si="16"/>
        <v>81</v>
      </c>
      <c r="N247" s="415">
        <v>81</v>
      </c>
      <c r="O247" s="415"/>
    </row>
    <row r="248" s="278" customFormat="1" ht="20" customHeight="1" spans="1:15">
      <c r="A248" s="412">
        <v>203</v>
      </c>
      <c r="B248" s="413" t="s">
        <v>299</v>
      </c>
      <c r="C248" s="346">
        <f>C249+C256</f>
        <v>354.922915</v>
      </c>
      <c r="D248" s="346">
        <f>D249+D256</f>
        <v>346.599205</v>
      </c>
      <c r="E248" s="346">
        <f>E249+E256</f>
        <v>410.482915</v>
      </c>
      <c r="F248" s="414">
        <f>E248/D248*100</f>
        <v>118.431580072436</v>
      </c>
      <c r="G248" s="346">
        <f t="shared" si="13"/>
        <v>55.56</v>
      </c>
      <c r="H248" s="414">
        <f>G248/C248*100</f>
        <v>15.6541033705868</v>
      </c>
      <c r="I248" s="346">
        <f>I249+I256</f>
        <v>347.877259</v>
      </c>
      <c r="J248" s="307">
        <f t="shared" si="14"/>
        <v>1.278054</v>
      </c>
      <c r="K248" s="306">
        <f>J248/D248*100</f>
        <v>0.3687411804652</v>
      </c>
      <c r="M248" s="278">
        <f t="shared" si="16"/>
        <v>0</v>
      </c>
      <c r="N248" s="415"/>
      <c r="O248" s="415"/>
    </row>
    <row r="249" customFormat="1" ht="20" hidden="1" customHeight="1" spans="1:15">
      <c r="A249" s="416">
        <v>20306</v>
      </c>
      <c r="B249" s="426" t="s">
        <v>300</v>
      </c>
      <c r="C249" s="456">
        <f>SUM(C250:C255)</f>
        <v>261.94</v>
      </c>
      <c r="D249" s="456">
        <f>SUM(D250:D255)</f>
        <v>249</v>
      </c>
      <c r="E249" s="456">
        <f>SUM(E250:E255)</f>
        <v>317.5</v>
      </c>
      <c r="F249" s="457">
        <f>E249/D249*100</f>
        <v>127.510040160643</v>
      </c>
      <c r="G249" s="458">
        <f t="shared" si="13"/>
        <v>55.56</v>
      </c>
      <c r="H249" s="457">
        <f>G249/C249*100</f>
        <v>21.2109643429793</v>
      </c>
      <c r="I249" s="456">
        <f>SUM(I250:I255)</f>
        <v>202</v>
      </c>
      <c r="J249" s="459">
        <f t="shared" si="14"/>
        <v>-47</v>
      </c>
      <c r="K249" s="460">
        <f>J249/D249*100</f>
        <v>-18.8755020080321</v>
      </c>
      <c r="M249">
        <f t="shared" si="16"/>
        <v>0</v>
      </c>
      <c r="N249" s="415"/>
      <c r="O249" s="415"/>
    </row>
    <row r="250" customFormat="1" ht="20" hidden="1" customHeight="1" spans="1:15">
      <c r="A250" s="418">
        <v>2030601</v>
      </c>
      <c r="B250" s="421" t="s">
        <v>301</v>
      </c>
      <c r="C250" s="464">
        <v>98.6</v>
      </c>
      <c r="D250" s="466">
        <v>50</v>
      </c>
      <c r="E250" s="464">
        <v>135</v>
      </c>
      <c r="F250" s="457">
        <f>E250/D250*100</f>
        <v>270</v>
      </c>
      <c r="G250" s="458">
        <f t="shared" si="13"/>
        <v>36.4</v>
      </c>
      <c r="H250" s="457">
        <f>G250/C250*100</f>
        <v>36.9168356997972</v>
      </c>
      <c r="I250" s="462">
        <v>55.9</v>
      </c>
      <c r="J250" s="459">
        <f t="shared" si="14"/>
        <v>5.9</v>
      </c>
      <c r="K250" s="460">
        <f>J250/D250*100</f>
        <v>11.8</v>
      </c>
      <c r="M250">
        <f t="shared" si="16"/>
        <v>49</v>
      </c>
      <c r="N250" s="415">
        <v>49</v>
      </c>
      <c r="O250" s="415"/>
    </row>
    <row r="251" customFormat="1" ht="20" hidden="1" customHeight="1" spans="1:15">
      <c r="A251" s="418">
        <v>2030602</v>
      </c>
      <c r="B251" s="419" t="s">
        <v>302</v>
      </c>
      <c r="C251" s="464">
        <v>0</v>
      </c>
      <c r="D251" s="461"/>
      <c r="E251" s="464">
        <v>0</v>
      </c>
      <c r="F251" s="457"/>
      <c r="G251" s="458">
        <f t="shared" si="13"/>
        <v>0</v>
      </c>
      <c r="H251" s="457"/>
      <c r="I251" s="461"/>
      <c r="J251" s="459">
        <f t="shared" si="14"/>
        <v>0</v>
      </c>
      <c r="K251" s="460"/>
      <c r="M251">
        <f t="shared" si="16"/>
        <v>0</v>
      </c>
      <c r="N251" s="415"/>
      <c r="O251" s="415"/>
    </row>
    <row r="252" customFormat="1" ht="20" hidden="1" customHeight="1" spans="1:15">
      <c r="A252" s="418">
        <v>2030603</v>
      </c>
      <c r="B252" s="419" t="s">
        <v>303</v>
      </c>
      <c r="C252" s="464">
        <v>0</v>
      </c>
      <c r="D252" s="461"/>
      <c r="E252" s="464">
        <v>0</v>
      </c>
      <c r="F252" s="457"/>
      <c r="G252" s="458">
        <f t="shared" si="13"/>
        <v>0</v>
      </c>
      <c r="H252" s="457"/>
      <c r="I252" s="461"/>
      <c r="J252" s="459">
        <f t="shared" si="14"/>
        <v>0</v>
      </c>
      <c r="K252" s="460"/>
      <c r="M252">
        <f t="shared" si="16"/>
        <v>0</v>
      </c>
      <c r="N252" s="415"/>
      <c r="O252" s="415"/>
    </row>
    <row r="253" customFormat="1" ht="20" hidden="1" customHeight="1" spans="1:15">
      <c r="A253" s="418">
        <v>2030604</v>
      </c>
      <c r="B253" s="419" t="s">
        <v>304</v>
      </c>
      <c r="C253" s="464">
        <v>0</v>
      </c>
      <c r="D253" s="461"/>
      <c r="E253" s="464">
        <v>0</v>
      </c>
      <c r="F253" s="457"/>
      <c r="G253" s="458">
        <f t="shared" si="13"/>
        <v>0</v>
      </c>
      <c r="H253" s="457"/>
      <c r="I253" s="461"/>
      <c r="J253" s="459">
        <f t="shared" si="14"/>
        <v>0</v>
      </c>
      <c r="K253" s="460"/>
      <c r="M253">
        <f t="shared" si="16"/>
        <v>0</v>
      </c>
      <c r="N253" s="415"/>
      <c r="O253" s="415"/>
    </row>
    <row r="254" customFormat="1" ht="20" hidden="1" customHeight="1" spans="1:15">
      <c r="A254" s="418">
        <v>2030607</v>
      </c>
      <c r="B254" s="421" t="s">
        <v>305</v>
      </c>
      <c r="C254" s="464">
        <v>163.34</v>
      </c>
      <c r="D254" s="466">
        <f>128+71</f>
        <v>199</v>
      </c>
      <c r="E254" s="464">
        <v>182.5</v>
      </c>
      <c r="F254" s="457">
        <f>E254/D254*100</f>
        <v>91.7085427135678</v>
      </c>
      <c r="G254" s="458">
        <f t="shared" si="13"/>
        <v>19.16</v>
      </c>
      <c r="H254" s="457">
        <f>G254/C254*100</f>
        <v>11.7301334639402</v>
      </c>
      <c r="I254" s="462">
        <f>72.1+73</f>
        <v>145.1</v>
      </c>
      <c r="J254" s="459">
        <f t="shared" si="14"/>
        <v>-53.9</v>
      </c>
      <c r="K254" s="460">
        <f>J254/D254*100</f>
        <v>-27.0854271356784</v>
      </c>
      <c r="M254">
        <f t="shared" si="16"/>
        <v>88</v>
      </c>
      <c r="N254" s="415">
        <v>88</v>
      </c>
      <c r="O254" s="415"/>
    </row>
    <row r="255" customFormat="1" ht="20" hidden="1" customHeight="1" spans="1:15">
      <c r="A255" s="418">
        <v>2030699</v>
      </c>
      <c r="B255" s="421" t="s">
        <v>306</v>
      </c>
      <c r="C255" s="464"/>
      <c r="D255" s="461"/>
      <c r="E255" s="464"/>
      <c r="F255" s="457"/>
      <c r="G255" s="458">
        <f t="shared" si="13"/>
        <v>0</v>
      </c>
      <c r="H255" s="457"/>
      <c r="I255" s="462">
        <v>1</v>
      </c>
      <c r="J255" s="459">
        <f t="shared" si="14"/>
        <v>1</v>
      </c>
      <c r="K255" s="460"/>
      <c r="M255">
        <f t="shared" si="16"/>
        <v>0</v>
      </c>
      <c r="N255" s="415"/>
      <c r="O255" s="415"/>
    </row>
    <row r="256" customFormat="1" ht="20" hidden="1" customHeight="1" spans="1:15">
      <c r="A256" s="416">
        <v>20399</v>
      </c>
      <c r="B256" s="426" t="s">
        <v>307</v>
      </c>
      <c r="C256" s="461">
        <v>92.982915</v>
      </c>
      <c r="D256" s="466">
        <v>97.599205</v>
      </c>
      <c r="E256" s="461">
        <v>92.982915</v>
      </c>
      <c r="F256" s="457">
        <f>E256/D256*100</f>
        <v>95.2701561452268</v>
      </c>
      <c r="G256" s="458">
        <f t="shared" si="13"/>
        <v>0</v>
      </c>
      <c r="H256" s="457">
        <f>G256/C256*100</f>
        <v>0</v>
      </c>
      <c r="I256" s="462">
        <v>145.877259</v>
      </c>
      <c r="J256" s="459">
        <f t="shared" si="14"/>
        <v>48.278054</v>
      </c>
      <c r="K256" s="460">
        <f>J256/D256*100</f>
        <v>49.4656221841151</v>
      </c>
      <c r="M256">
        <f t="shared" si="16"/>
        <v>140</v>
      </c>
      <c r="N256" s="415">
        <v>140</v>
      </c>
      <c r="O256" s="415"/>
    </row>
    <row r="257" s="278" customFormat="1" ht="20" customHeight="1" spans="1:17">
      <c r="A257" s="412">
        <v>204</v>
      </c>
      <c r="B257" s="413" t="s">
        <v>308</v>
      </c>
      <c r="C257" s="346">
        <f>SUM(C258:C342)/2+C343</f>
        <v>12484.449715</v>
      </c>
      <c r="D257" s="346">
        <f>SUM(D258:D342)/2+D343</f>
        <v>7069.112401</v>
      </c>
      <c r="E257" s="346">
        <f>SUM(E258:E342)/2+E343</f>
        <v>12067</v>
      </c>
      <c r="F257" s="414">
        <f>E257/D257*100</f>
        <v>170.700355511294</v>
      </c>
      <c r="G257" s="346">
        <f t="shared" si="13"/>
        <v>-417.449715000001</v>
      </c>
      <c r="H257" s="414">
        <f>G257/C257*100</f>
        <v>-3.34375743048119</v>
      </c>
      <c r="I257" s="346">
        <f>SUM(I258:I342)/2+I343</f>
        <v>10757.987151</v>
      </c>
      <c r="J257" s="307">
        <f t="shared" si="14"/>
        <v>3688.87475</v>
      </c>
      <c r="K257" s="306">
        <f>J257/D257*100</f>
        <v>52.1829975355629</v>
      </c>
      <c r="M257" s="278">
        <f t="shared" si="16"/>
        <v>0</v>
      </c>
      <c r="N257" s="415"/>
      <c r="O257" s="415"/>
    </row>
    <row r="258" customFormat="1" ht="20" hidden="1" customHeight="1" spans="1:17">
      <c r="A258" s="416">
        <v>20401</v>
      </c>
      <c r="B258" s="417" t="s">
        <v>309</v>
      </c>
      <c r="C258" s="456">
        <f>SUM(C259:C260)</f>
        <v>8</v>
      </c>
      <c r="D258" s="466">
        <v>4.9343</v>
      </c>
      <c r="E258" s="456">
        <f>SUM(E259:E260)</f>
        <v>5</v>
      </c>
      <c r="F258" s="457">
        <f>E258/D258*100</f>
        <v>101.331495855542</v>
      </c>
      <c r="G258" s="458">
        <f t="shared" si="13"/>
        <v>-3</v>
      </c>
      <c r="H258" s="457">
        <f>G258/C258*100</f>
        <v>-37.5</v>
      </c>
      <c r="I258" s="466">
        <v>4.9343</v>
      </c>
      <c r="J258" s="459">
        <f t="shared" si="14"/>
        <v>0</v>
      </c>
      <c r="K258" s="460">
        <f>J258/D258*100</f>
        <v>0</v>
      </c>
      <c r="M258">
        <f t="shared" si="16"/>
        <v>0</v>
      </c>
      <c r="N258" s="415"/>
      <c r="O258" s="415"/>
    </row>
    <row r="259" customFormat="1" ht="20" hidden="1" customHeight="1" spans="1:17">
      <c r="A259" s="418">
        <v>2040101</v>
      </c>
      <c r="B259" s="421" t="s">
        <v>310</v>
      </c>
      <c r="C259" s="461">
        <v>8</v>
      </c>
      <c r="D259" s="461">
        <v>4.9343</v>
      </c>
      <c r="E259" s="461">
        <v>5</v>
      </c>
      <c r="F259" s="457">
        <f>E259/D259*100</f>
        <v>101.331495855542</v>
      </c>
      <c r="G259" s="458">
        <f t="shared" si="13"/>
        <v>-3</v>
      </c>
      <c r="H259" s="457">
        <f>G259/C259*100</f>
        <v>-37.5</v>
      </c>
      <c r="I259" s="462">
        <v>5</v>
      </c>
      <c r="J259" s="459">
        <f t="shared" si="14"/>
        <v>0.0656999999999996</v>
      </c>
      <c r="K259" s="460">
        <f>J259/D259*100</f>
        <v>1.33149585554181</v>
      </c>
      <c r="M259">
        <f t="shared" si="16"/>
        <v>13</v>
      </c>
      <c r="N259" s="415">
        <v>13</v>
      </c>
      <c r="O259" s="415"/>
    </row>
    <row r="260" customFormat="1" ht="20" hidden="1" customHeight="1" spans="1:17">
      <c r="A260" s="418">
        <v>2040199</v>
      </c>
      <c r="B260" s="421" t="s">
        <v>311</v>
      </c>
      <c r="C260" s="461">
        <v>0</v>
      </c>
      <c r="D260" s="461"/>
      <c r="E260" s="461">
        <v>0</v>
      </c>
      <c r="F260" s="457"/>
      <c r="G260" s="458">
        <f t="shared" si="13"/>
        <v>0</v>
      </c>
      <c r="H260" s="457"/>
      <c r="I260" s="461"/>
      <c r="J260" s="459">
        <f t="shared" si="14"/>
        <v>0</v>
      </c>
      <c r="K260" s="460"/>
      <c r="M260">
        <f t="shared" si="16"/>
        <v>0</v>
      </c>
      <c r="N260" s="415"/>
      <c r="O260" s="415"/>
    </row>
    <row r="261" customFormat="1" ht="20" hidden="1" customHeight="1" spans="1:17">
      <c r="A261" s="416">
        <v>20402</v>
      </c>
      <c r="B261" s="426" t="s">
        <v>312</v>
      </c>
      <c r="C261" s="456">
        <f>SUM(C262:C270)</f>
        <v>10748.635478</v>
      </c>
      <c r="D261" s="456">
        <f>SUM(D262:D270)</f>
        <v>6281.978448</v>
      </c>
      <c r="E261" s="456">
        <f>SUM(E262:E270)</f>
        <v>10904</v>
      </c>
      <c r="F261" s="457">
        <f>E261/D261*100</f>
        <v>173.575889988472</v>
      </c>
      <c r="G261" s="458">
        <f t="shared" si="13"/>
        <v>155.364522</v>
      </c>
      <c r="H261" s="457">
        <f>G261/C261*100</f>
        <v>1.44543483978032</v>
      </c>
      <c r="I261" s="456">
        <f>SUM(I262:I270)</f>
        <v>9610.544319</v>
      </c>
      <c r="J261" s="459">
        <f t="shared" si="14"/>
        <v>3328.565871</v>
      </c>
      <c r="K261" s="460">
        <f>J261/D261*100</f>
        <v>52.9859485917167</v>
      </c>
      <c r="M261">
        <f t="shared" si="16"/>
        <v>0</v>
      </c>
      <c r="N261" s="415"/>
      <c r="O261" s="415"/>
    </row>
    <row r="262" customFormat="1" ht="20" hidden="1" customHeight="1" spans="1:17">
      <c r="A262" s="418">
        <v>2040201</v>
      </c>
      <c r="B262" s="421" t="s">
        <v>165</v>
      </c>
      <c r="C262" s="464">
        <v>4611.796722</v>
      </c>
      <c r="D262" s="461">
        <v>4219.905598</v>
      </c>
      <c r="E262" s="464">
        <v>4288</v>
      </c>
      <c r="F262" s="457">
        <f>E262/D262*100</f>
        <v>101.613647519325</v>
      </c>
      <c r="G262" s="458">
        <f t="shared" si="13"/>
        <v>-323.796722</v>
      </c>
      <c r="H262" s="457">
        <f>G262/C262*100</f>
        <v>-7.02105364825315</v>
      </c>
      <c r="I262" s="461">
        <v>4083</v>
      </c>
      <c r="J262" s="459">
        <f t="shared" si="14"/>
        <v>-136.905598</v>
      </c>
      <c r="K262" s="460">
        <f>J262/D262*100</f>
        <v>-3.24428105844088</v>
      </c>
      <c r="M262">
        <f t="shared" si="16"/>
        <v>3739</v>
      </c>
      <c r="N262" s="415">
        <v>3739</v>
      </c>
      <c r="O262" s="415"/>
    </row>
    <row r="263" customFormat="1" ht="20" hidden="1" customHeight="1" spans="1:17">
      <c r="A263" s="418">
        <v>2040202</v>
      </c>
      <c r="B263" s="422" t="s">
        <v>166</v>
      </c>
      <c r="C263" s="464">
        <v>2285.634468</v>
      </c>
      <c r="D263" s="466">
        <v>763</v>
      </c>
      <c r="E263" s="464">
        <v>943</v>
      </c>
      <c r="F263" s="457">
        <f>E263/D263*100</f>
        <v>123.591087811271</v>
      </c>
      <c r="G263" s="458">
        <f t="shared" ref="G263:G326" si="17">E263-C263</f>
        <v>-1342.634468</v>
      </c>
      <c r="H263" s="457">
        <f>G263/C263*100</f>
        <v>-58.7423092711253</v>
      </c>
      <c r="I263" s="462">
        <v>826.458667</v>
      </c>
      <c r="J263" s="459">
        <f t="shared" ref="J263:J326" si="18">I263-D263</f>
        <v>63.458667</v>
      </c>
      <c r="K263" s="460">
        <f>J263/D263*100</f>
        <v>8.31699436435124</v>
      </c>
      <c r="M263">
        <f t="shared" si="16"/>
        <v>841</v>
      </c>
      <c r="N263" s="415">
        <v>841</v>
      </c>
      <c r="O263" s="415"/>
    </row>
    <row r="264" customFormat="1" ht="20" hidden="1" customHeight="1" spans="1:17">
      <c r="A264" s="418">
        <v>2040203</v>
      </c>
      <c r="B264" s="419" t="s">
        <v>167</v>
      </c>
      <c r="C264" s="464">
        <v>0</v>
      </c>
      <c r="D264" s="461"/>
      <c r="E264" s="464">
        <v>0</v>
      </c>
      <c r="F264" s="457"/>
      <c r="G264" s="458">
        <f t="shared" si="17"/>
        <v>0</v>
      </c>
      <c r="H264" s="457"/>
      <c r="I264" s="461"/>
      <c r="J264" s="459">
        <f t="shared" si="18"/>
        <v>0</v>
      </c>
      <c r="K264" s="460"/>
      <c r="M264">
        <f t="shared" si="16"/>
        <v>0</v>
      </c>
      <c r="N264" s="415"/>
      <c r="O264" s="415"/>
    </row>
    <row r="265" customFormat="1" ht="20" hidden="1" customHeight="1" spans="1:17">
      <c r="A265" s="418">
        <v>2040219</v>
      </c>
      <c r="B265" s="421" t="s">
        <v>207</v>
      </c>
      <c r="C265" s="464">
        <v>25</v>
      </c>
      <c r="D265" s="461"/>
      <c r="E265" s="464">
        <v>8</v>
      </c>
      <c r="F265" s="457"/>
      <c r="G265" s="458">
        <f t="shared" si="17"/>
        <v>-17</v>
      </c>
      <c r="H265" s="457">
        <f>G265/C265*100</f>
        <v>-68</v>
      </c>
      <c r="I265" s="461"/>
      <c r="J265" s="459">
        <f t="shared" si="18"/>
        <v>0</v>
      </c>
      <c r="K265" s="460"/>
      <c r="M265">
        <f t="shared" si="16"/>
        <v>0</v>
      </c>
      <c r="N265" s="415"/>
      <c r="O265" s="415"/>
    </row>
    <row r="266" customFormat="1" ht="20" hidden="1" customHeight="1" spans="1:17">
      <c r="A266" s="418">
        <v>2040220</v>
      </c>
      <c r="B266" s="419" t="s">
        <v>313</v>
      </c>
      <c r="C266" s="464">
        <v>3727.154288</v>
      </c>
      <c r="D266" s="461">
        <f>1101.44575+50+104.6271</f>
        <v>1256.07285</v>
      </c>
      <c r="E266" s="464">
        <v>5512</v>
      </c>
      <c r="F266" s="457">
        <f>E266/D266*100</f>
        <v>438.828050459016</v>
      </c>
      <c r="G266" s="458">
        <f t="shared" si="17"/>
        <v>1784.845712</v>
      </c>
      <c r="H266" s="457">
        <f>G266/C266*100</f>
        <v>47.8876261641895</v>
      </c>
      <c r="I266" s="461">
        <f>3753.15+40.81+653</f>
        <v>4446.96</v>
      </c>
      <c r="J266" s="459">
        <f t="shared" si="18"/>
        <v>3190.88715</v>
      </c>
      <c r="K266" s="460">
        <f>J266/D266*100</f>
        <v>254.036790143183</v>
      </c>
      <c r="M266">
        <f t="shared" si="16"/>
        <v>2184</v>
      </c>
      <c r="N266" s="415">
        <v>2184</v>
      </c>
      <c r="O266" s="415"/>
      <c r="Q266">
        <v>151</v>
      </c>
    </row>
    <row r="267" customFormat="1" ht="20" hidden="1" customHeight="1" spans="1:17">
      <c r="A267" s="418">
        <v>2040221</v>
      </c>
      <c r="B267" s="421" t="s">
        <v>314</v>
      </c>
      <c r="C267" s="464">
        <v>0</v>
      </c>
      <c r="D267" s="461"/>
      <c r="E267" s="464">
        <v>0</v>
      </c>
      <c r="F267" s="457"/>
      <c r="G267" s="458">
        <f t="shared" si="17"/>
        <v>0</v>
      </c>
      <c r="H267" s="457"/>
      <c r="I267" s="461"/>
      <c r="J267" s="459">
        <f t="shared" si="18"/>
        <v>0</v>
      </c>
      <c r="K267" s="460"/>
      <c r="M267">
        <f t="shared" si="16"/>
        <v>0</v>
      </c>
      <c r="N267" s="415"/>
      <c r="O267" s="415"/>
    </row>
    <row r="268" customFormat="1" ht="20" hidden="1" customHeight="1" spans="1:17">
      <c r="A268" s="418">
        <v>2040222</v>
      </c>
      <c r="B268" s="421" t="s">
        <v>315</v>
      </c>
      <c r="C268" s="464">
        <v>0</v>
      </c>
      <c r="D268" s="461"/>
      <c r="E268" s="464">
        <v>0</v>
      </c>
      <c r="F268" s="457"/>
      <c r="G268" s="458">
        <f t="shared" si="17"/>
        <v>0</v>
      </c>
      <c r="H268" s="457"/>
      <c r="I268" s="461"/>
      <c r="J268" s="459">
        <f t="shared" si="18"/>
        <v>0</v>
      </c>
      <c r="K268" s="460"/>
      <c r="M268">
        <f t="shared" si="16"/>
        <v>0</v>
      </c>
      <c r="N268" s="415"/>
      <c r="O268" s="415"/>
    </row>
    <row r="269" customFormat="1" ht="20" hidden="1" customHeight="1" spans="1:17">
      <c r="A269" s="418">
        <v>2040250</v>
      </c>
      <c r="B269" s="421" t="s">
        <v>174</v>
      </c>
      <c r="C269" s="464">
        <v>0</v>
      </c>
      <c r="D269" s="461"/>
      <c r="E269" s="464">
        <v>0</v>
      </c>
      <c r="F269" s="457"/>
      <c r="G269" s="458">
        <f t="shared" si="17"/>
        <v>0</v>
      </c>
      <c r="H269" s="457"/>
      <c r="I269" s="461"/>
      <c r="J269" s="459">
        <f t="shared" si="18"/>
        <v>0</v>
      </c>
      <c r="K269" s="460"/>
      <c r="M269">
        <f t="shared" si="16"/>
        <v>0</v>
      </c>
      <c r="N269" s="415"/>
      <c r="O269" s="415"/>
    </row>
    <row r="270" customFormat="1" ht="20" hidden="1" customHeight="1" spans="1:17">
      <c r="A270" s="418">
        <v>2040299</v>
      </c>
      <c r="B270" s="421" t="s">
        <v>316</v>
      </c>
      <c r="C270" s="464">
        <v>99.05</v>
      </c>
      <c r="D270" s="461">
        <v>43</v>
      </c>
      <c r="E270" s="464">
        <v>153</v>
      </c>
      <c r="F270" s="457">
        <f>E270/D270*100</f>
        <v>355.813953488372</v>
      </c>
      <c r="G270" s="458">
        <f t="shared" si="17"/>
        <v>53.95</v>
      </c>
      <c r="H270" s="457">
        <f>G270/C270*100</f>
        <v>54.467440686522</v>
      </c>
      <c r="I270" s="462">
        <f>42.125652+212</f>
        <v>254.125652</v>
      </c>
      <c r="J270" s="459">
        <f t="shared" si="18"/>
        <v>211.125652</v>
      </c>
      <c r="K270" s="460">
        <f>J270/D270*100</f>
        <v>490.989888372093</v>
      </c>
      <c r="M270">
        <f t="shared" si="16"/>
        <v>45</v>
      </c>
      <c r="N270" s="415">
        <v>45</v>
      </c>
      <c r="O270" s="415"/>
      <c r="P270">
        <v>50</v>
      </c>
    </row>
    <row r="271" customFormat="1" ht="20" hidden="1" customHeight="1" spans="1:17">
      <c r="A271" s="416">
        <v>20403</v>
      </c>
      <c r="B271" s="417" t="s">
        <v>317</v>
      </c>
      <c r="C271" s="456">
        <v>0</v>
      </c>
      <c r="D271" s="456"/>
      <c r="E271" s="456">
        <v>0</v>
      </c>
      <c r="F271" s="457"/>
      <c r="G271" s="458">
        <f t="shared" si="17"/>
        <v>0</v>
      </c>
      <c r="H271" s="457"/>
      <c r="I271" s="456"/>
      <c r="J271" s="459">
        <f t="shared" si="18"/>
        <v>0</v>
      </c>
      <c r="K271" s="460"/>
      <c r="M271">
        <f t="shared" si="16"/>
        <v>0</v>
      </c>
      <c r="N271" s="415"/>
      <c r="O271" s="415"/>
    </row>
    <row r="272" customFormat="1" ht="20" hidden="1" customHeight="1" spans="1:17">
      <c r="A272" s="418">
        <v>2040301</v>
      </c>
      <c r="B272" s="419" t="s">
        <v>165</v>
      </c>
      <c r="C272" s="461">
        <v>0</v>
      </c>
      <c r="D272" s="461"/>
      <c r="E272" s="461">
        <v>0</v>
      </c>
      <c r="F272" s="457"/>
      <c r="G272" s="458">
        <f t="shared" si="17"/>
        <v>0</v>
      </c>
      <c r="H272" s="457"/>
      <c r="I272" s="461"/>
      <c r="J272" s="459">
        <f t="shared" si="18"/>
        <v>0</v>
      </c>
      <c r="K272" s="460"/>
      <c r="M272">
        <f t="shared" si="16"/>
        <v>0</v>
      </c>
      <c r="N272" s="415"/>
      <c r="O272" s="415"/>
    </row>
    <row r="273" customFormat="1" ht="20" hidden="1" customHeight="1" spans="1:15">
      <c r="A273" s="418">
        <v>2040302</v>
      </c>
      <c r="B273" s="419" t="s">
        <v>166</v>
      </c>
      <c r="C273" s="461">
        <v>0</v>
      </c>
      <c r="D273" s="461"/>
      <c r="E273" s="461">
        <v>0</v>
      </c>
      <c r="F273" s="457"/>
      <c r="G273" s="458">
        <f t="shared" si="17"/>
        <v>0</v>
      </c>
      <c r="H273" s="457"/>
      <c r="I273" s="461"/>
      <c r="J273" s="459">
        <f t="shared" si="18"/>
        <v>0</v>
      </c>
      <c r="K273" s="460"/>
      <c r="M273">
        <f t="shared" si="16"/>
        <v>0</v>
      </c>
      <c r="N273" s="415"/>
      <c r="O273" s="415"/>
    </row>
    <row r="274" customFormat="1" ht="20" hidden="1" customHeight="1" spans="1:15">
      <c r="A274" s="418">
        <v>2040303</v>
      </c>
      <c r="B274" s="421" t="s">
        <v>167</v>
      </c>
      <c r="C274" s="461">
        <v>0</v>
      </c>
      <c r="D274" s="461"/>
      <c r="E274" s="461">
        <v>0</v>
      </c>
      <c r="F274" s="457"/>
      <c r="G274" s="458">
        <f t="shared" si="17"/>
        <v>0</v>
      </c>
      <c r="H274" s="457"/>
      <c r="I274" s="461"/>
      <c r="J274" s="459">
        <f t="shared" si="18"/>
        <v>0</v>
      </c>
      <c r="K274" s="460"/>
      <c r="M274">
        <f t="shared" si="16"/>
        <v>0</v>
      </c>
      <c r="N274" s="415"/>
      <c r="O274" s="415"/>
    </row>
    <row r="275" customFormat="1" ht="20" hidden="1" customHeight="1" spans="1:15">
      <c r="A275" s="418">
        <v>2040304</v>
      </c>
      <c r="B275" s="421" t="s">
        <v>318</v>
      </c>
      <c r="C275" s="461">
        <v>0</v>
      </c>
      <c r="D275" s="461"/>
      <c r="E275" s="461">
        <v>0</v>
      </c>
      <c r="F275" s="457"/>
      <c r="G275" s="458">
        <f t="shared" si="17"/>
        <v>0</v>
      </c>
      <c r="H275" s="457"/>
      <c r="I275" s="461"/>
      <c r="J275" s="459">
        <f t="shared" si="18"/>
        <v>0</v>
      </c>
      <c r="K275" s="460"/>
      <c r="M275">
        <f t="shared" si="16"/>
        <v>0</v>
      </c>
      <c r="N275" s="415"/>
      <c r="O275" s="415"/>
    </row>
    <row r="276" customFormat="1" ht="20" hidden="1" customHeight="1" spans="1:15">
      <c r="A276" s="418">
        <v>2040350</v>
      </c>
      <c r="B276" s="421" t="s">
        <v>174</v>
      </c>
      <c r="C276" s="461">
        <v>0</v>
      </c>
      <c r="D276" s="461"/>
      <c r="E276" s="461">
        <v>0</v>
      </c>
      <c r="F276" s="457"/>
      <c r="G276" s="458">
        <f t="shared" si="17"/>
        <v>0</v>
      </c>
      <c r="H276" s="457"/>
      <c r="I276" s="461"/>
      <c r="J276" s="459">
        <f t="shared" si="18"/>
        <v>0</v>
      </c>
      <c r="K276" s="460"/>
      <c r="M276">
        <f t="shared" si="16"/>
        <v>0</v>
      </c>
      <c r="N276" s="415"/>
      <c r="O276" s="415"/>
    </row>
    <row r="277" customFormat="1" ht="20" hidden="1" customHeight="1" spans="1:15">
      <c r="A277" s="418">
        <v>2040399</v>
      </c>
      <c r="B277" s="422" t="s">
        <v>319</v>
      </c>
      <c r="C277" s="461">
        <v>0</v>
      </c>
      <c r="D277" s="461"/>
      <c r="E277" s="461">
        <v>0</v>
      </c>
      <c r="F277" s="457"/>
      <c r="G277" s="458">
        <f t="shared" si="17"/>
        <v>0</v>
      </c>
      <c r="H277" s="457"/>
      <c r="I277" s="461"/>
      <c r="J277" s="459">
        <f t="shared" si="18"/>
        <v>0</v>
      </c>
      <c r="K277" s="460"/>
      <c r="M277">
        <f t="shared" si="16"/>
        <v>0</v>
      </c>
      <c r="N277" s="415"/>
      <c r="O277" s="415"/>
    </row>
    <row r="278" customFormat="1" ht="20" hidden="1" customHeight="1" spans="1:15">
      <c r="A278" s="416">
        <v>20404</v>
      </c>
      <c r="B278" s="417" t="s">
        <v>320</v>
      </c>
      <c r="C278" s="456">
        <f>SUM(C279:C285)</f>
        <v>403.956471</v>
      </c>
      <c r="D278" s="456">
        <f>SUM(D279:D285)</f>
        <v>0</v>
      </c>
      <c r="E278" s="456">
        <f>SUM(E279:E285)</f>
        <v>2</v>
      </c>
      <c r="F278" s="457"/>
      <c r="G278" s="458">
        <f t="shared" si="17"/>
        <v>-401.956471</v>
      </c>
      <c r="H278" s="457">
        <f>G278/C278*100</f>
        <v>-99.5048971501684</v>
      </c>
      <c r="I278" s="456">
        <f>SUM(I279:I285)</f>
        <v>0</v>
      </c>
      <c r="J278" s="459">
        <f t="shared" si="18"/>
        <v>0</v>
      </c>
      <c r="K278" s="460"/>
      <c r="M278">
        <f t="shared" si="16"/>
        <v>0</v>
      </c>
      <c r="N278" s="415"/>
      <c r="O278" s="415"/>
    </row>
    <row r="279" customFormat="1" ht="20" hidden="1" customHeight="1" spans="1:15">
      <c r="A279" s="418">
        <v>2040401</v>
      </c>
      <c r="B279" s="419" t="s">
        <v>165</v>
      </c>
      <c r="C279" s="464">
        <v>14.075</v>
      </c>
      <c r="D279" s="461"/>
      <c r="E279" s="464"/>
      <c r="F279" s="457"/>
      <c r="G279" s="458">
        <f t="shared" si="17"/>
        <v>-14.075</v>
      </c>
      <c r="H279" s="457">
        <f>G279/C279*100</f>
        <v>-100</v>
      </c>
      <c r="I279" s="461"/>
      <c r="J279" s="459">
        <f t="shared" si="18"/>
        <v>0</v>
      </c>
      <c r="K279" s="460"/>
      <c r="M279">
        <f t="shared" si="16"/>
        <v>0</v>
      </c>
      <c r="N279" s="415"/>
      <c r="O279" s="415"/>
    </row>
    <row r="280" customFormat="1" ht="20" hidden="1" customHeight="1" spans="1:15">
      <c r="A280" s="418">
        <v>2040402</v>
      </c>
      <c r="B280" s="419" t="s">
        <v>166</v>
      </c>
      <c r="C280" s="464">
        <v>389.881471</v>
      </c>
      <c r="D280" s="461"/>
      <c r="E280" s="464">
        <v>2</v>
      </c>
      <c r="F280" s="457"/>
      <c r="G280" s="458">
        <f t="shared" si="17"/>
        <v>-387.881471</v>
      </c>
      <c r="H280" s="457">
        <f>G280/C280*100</f>
        <v>-99.4870235831238</v>
      </c>
      <c r="I280" s="461"/>
      <c r="J280" s="459">
        <f t="shared" si="18"/>
        <v>0</v>
      </c>
      <c r="K280" s="460"/>
      <c r="M280">
        <f t="shared" si="16"/>
        <v>63</v>
      </c>
      <c r="N280" s="415">
        <v>63</v>
      </c>
      <c r="O280" s="415"/>
    </row>
    <row r="281" customFormat="1" ht="20" hidden="1" customHeight="1" spans="1:15">
      <c r="A281" s="418">
        <v>2040403</v>
      </c>
      <c r="B281" s="421" t="s">
        <v>167</v>
      </c>
      <c r="C281" s="464">
        <v>0</v>
      </c>
      <c r="D281" s="461"/>
      <c r="E281" s="464">
        <v>0</v>
      </c>
      <c r="F281" s="457"/>
      <c r="G281" s="458">
        <f t="shared" si="17"/>
        <v>0</v>
      </c>
      <c r="H281" s="457"/>
      <c r="I281" s="461"/>
      <c r="J281" s="459">
        <f t="shared" si="18"/>
        <v>0</v>
      </c>
      <c r="K281" s="460"/>
      <c r="M281">
        <f t="shared" si="16"/>
        <v>0</v>
      </c>
      <c r="N281" s="415"/>
      <c r="O281" s="415"/>
    </row>
    <row r="282" customFormat="1" ht="20" hidden="1" customHeight="1" spans="1:15">
      <c r="A282" s="418">
        <v>2040409</v>
      </c>
      <c r="B282" s="421" t="s">
        <v>321</v>
      </c>
      <c r="C282" s="464">
        <v>0</v>
      </c>
      <c r="D282" s="461"/>
      <c r="E282" s="464">
        <v>0</v>
      </c>
      <c r="F282" s="457"/>
      <c r="G282" s="458">
        <f t="shared" si="17"/>
        <v>0</v>
      </c>
      <c r="H282" s="457"/>
      <c r="I282" s="461"/>
      <c r="J282" s="459">
        <f t="shared" si="18"/>
        <v>0</v>
      </c>
      <c r="K282" s="460"/>
      <c r="M282">
        <f t="shared" si="16"/>
        <v>0</v>
      </c>
      <c r="N282" s="415"/>
      <c r="O282" s="415"/>
    </row>
    <row r="283" customFormat="1" ht="20" hidden="1" customHeight="1" spans="1:15">
      <c r="A283" s="418">
        <v>2040410</v>
      </c>
      <c r="B283" s="421" t="s">
        <v>322</v>
      </c>
      <c r="C283" s="464">
        <v>0</v>
      </c>
      <c r="D283" s="461"/>
      <c r="E283" s="464">
        <v>0</v>
      </c>
      <c r="F283" s="457"/>
      <c r="G283" s="458">
        <f t="shared" si="17"/>
        <v>0</v>
      </c>
      <c r="H283" s="457"/>
      <c r="I283" s="461"/>
      <c r="J283" s="459">
        <f t="shared" si="18"/>
        <v>0</v>
      </c>
      <c r="K283" s="460"/>
      <c r="M283">
        <f t="shared" si="16"/>
        <v>0</v>
      </c>
      <c r="N283" s="415"/>
      <c r="O283" s="415"/>
    </row>
    <row r="284" customFormat="1" ht="20" hidden="1" customHeight="1" spans="1:15">
      <c r="A284" s="418">
        <v>2040450</v>
      </c>
      <c r="B284" s="421" t="s">
        <v>174</v>
      </c>
      <c r="C284" s="464">
        <v>0</v>
      </c>
      <c r="D284" s="461"/>
      <c r="E284" s="464">
        <v>0</v>
      </c>
      <c r="F284" s="457"/>
      <c r="G284" s="458">
        <f t="shared" si="17"/>
        <v>0</v>
      </c>
      <c r="H284" s="457"/>
      <c r="I284" s="461"/>
      <c r="J284" s="459">
        <f t="shared" si="18"/>
        <v>0</v>
      </c>
      <c r="K284" s="460"/>
      <c r="M284">
        <f t="shared" si="16"/>
        <v>0</v>
      </c>
      <c r="N284" s="415"/>
      <c r="O284" s="415"/>
    </row>
    <row r="285" customFormat="1" ht="20" hidden="1" customHeight="1" spans="1:15">
      <c r="A285" s="418">
        <v>2040499</v>
      </c>
      <c r="B285" s="421" t="s">
        <v>323</v>
      </c>
      <c r="C285" s="464">
        <v>0</v>
      </c>
      <c r="D285" s="461"/>
      <c r="E285" s="464">
        <v>0</v>
      </c>
      <c r="F285" s="457"/>
      <c r="G285" s="458">
        <f t="shared" si="17"/>
        <v>0</v>
      </c>
      <c r="H285" s="457"/>
      <c r="I285" s="461"/>
      <c r="J285" s="459">
        <f t="shared" si="18"/>
        <v>0</v>
      </c>
      <c r="K285" s="460"/>
      <c r="M285">
        <f t="shared" si="16"/>
        <v>0</v>
      </c>
      <c r="N285" s="415"/>
      <c r="O285" s="415"/>
    </row>
    <row r="286" customFormat="1" ht="20" hidden="1" customHeight="1" spans="1:15">
      <c r="A286" s="416">
        <v>20405</v>
      </c>
      <c r="B286" s="427" t="s">
        <v>324</v>
      </c>
      <c r="C286" s="456">
        <f>SUM(C287:C294)</f>
        <v>327.382775</v>
      </c>
      <c r="D286" s="456">
        <f>SUM(D287:D294)</f>
        <v>0</v>
      </c>
      <c r="E286" s="456">
        <f>SUM(E287:E294)</f>
        <v>47</v>
      </c>
      <c r="F286" s="457"/>
      <c r="G286" s="458">
        <f t="shared" si="17"/>
        <v>-280.382775</v>
      </c>
      <c r="H286" s="457">
        <f>G286/C286*100</f>
        <v>-85.6437162889831</v>
      </c>
      <c r="I286" s="456">
        <f>SUM(I287:I294)</f>
        <v>0</v>
      </c>
      <c r="J286" s="459">
        <f t="shared" si="18"/>
        <v>0</v>
      </c>
      <c r="K286" s="460"/>
      <c r="M286">
        <f t="shared" si="16"/>
        <v>0</v>
      </c>
      <c r="N286" s="415"/>
      <c r="O286" s="415"/>
    </row>
    <row r="287" customFormat="1" ht="20" hidden="1" customHeight="1" spans="1:15">
      <c r="A287" s="418">
        <v>2040501</v>
      </c>
      <c r="B287" s="419" t="s">
        <v>165</v>
      </c>
      <c r="C287" s="464">
        <v>29.75725</v>
      </c>
      <c r="D287" s="461"/>
      <c r="E287" s="464"/>
      <c r="F287" s="457"/>
      <c r="G287" s="458">
        <f t="shared" si="17"/>
        <v>-29.75725</v>
      </c>
      <c r="H287" s="457">
        <f>G287/C287*100</f>
        <v>-100</v>
      </c>
      <c r="I287" s="461"/>
      <c r="J287" s="459">
        <f t="shared" si="18"/>
        <v>0</v>
      </c>
      <c r="K287" s="460"/>
      <c r="M287">
        <f t="shared" si="16"/>
        <v>0</v>
      </c>
      <c r="N287" s="415"/>
      <c r="O287" s="415"/>
    </row>
    <row r="288" customFormat="1" ht="20" hidden="1" customHeight="1" spans="1:15">
      <c r="A288" s="418">
        <v>2040502</v>
      </c>
      <c r="B288" s="419" t="s">
        <v>166</v>
      </c>
      <c r="C288" s="464">
        <v>297.425525</v>
      </c>
      <c r="D288" s="461"/>
      <c r="E288" s="464"/>
      <c r="F288" s="457"/>
      <c r="G288" s="458">
        <f t="shared" si="17"/>
        <v>-297.425525</v>
      </c>
      <c r="H288" s="457">
        <f>G288/C288*100</f>
        <v>-100</v>
      </c>
      <c r="I288" s="461"/>
      <c r="J288" s="459">
        <f t="shared" si="18"/>
        <v>0</v>
      </c>
      <c r="K288" s="460"/>
      <c r="M288">
        <f t="shared" si="16"/>
        <v>106</v>
      </c>
      <c r="N288" s="415">
        <v>106</v>
      </c>
      <c r="O288" s="415"/>
    </row>
    <row r="289" customFormat="1" ht="20" hidden="1" customHeight="1" spans="1:17">
      <c r="A289" s="418">
        <v>2040503</v>
      </c>
      <c r="B289" s="419" t="s">
        <v>167</v>
      </c>
      <c r="C289" s="464">
        <v>0</v>
      </c>
      <c r="D289" s="461"/>
      <c r="E289" s="464"/>
      <c r="F289" s="457"/>
      <c r="G289" s="458">
        <f t="shared" si="17"/>
        <v>0</v>
      </c>
      <c r="H289" s="457"/>
      <c r="I289" s="461"/>
      <c r="J289" s="459">
        <f t="shared" si="18"/>
        <v>0</v>
      </c>
      <c r="K289" s="460"/>
      <c r="M289">
        <f t="shared" si="16"/>
        <v>0</v>
      </c>
      <c r="N289" s="415"/>
      <c r="O289" s="415"/>
    </row>
    <row r="290" customFormat="1" ht="20" hidden="1" customHeight="1" spans="1:17">
      <c r="A290" s="418">
        <v>2040504</v>
      </c>
      <c r="B290" s="421" t="s">
        <v>325</v>
      </c>
      <c r="C290" s="464">
        <v>0</v>
      </c>
      <c r="D290" s="461"/>
      <c r="E290" s="464"/>
      <c r="F290" s="457"/>
      <c r="G290" s="458">
        <f t="shared" si="17"/>
        <v>0</v>
      </c>
      <c r="H290" s="457"/>
      <c r="I290" s="461"/>
      <c r="J290" s="459">
        <f t="shared" si="18"/>
        <v>0</v>
      </c>
      <c r="K290" s="460"/>
      <c r="M290">
        <f t="shared" si="16"/>
        <v>0</v>
      </c>
      <c r="N290" s="415"/>
      <c r="O290" s="415"/>
    </row>
    <row r="291" customFormat="1" ht="20" hidden="1" customHeight="1" spans="1:17">
      <c r="A291" s="418">
        <v>2040505</v>
      </c>
      <c r="B291" s="421" t="s">
        <v>326</v>
      </c>
      <c r="C291" s="464">
        <v>0</v>
      </c>
      <c r="D291" s="461"/>
      <c r="E291" s="464"/>
      <c r="F291" s="457"/>
      <c r="G291" s="458">
        <f t="shared" si="17"/>
        <v>0</v>
      </c>
      <c r="H291" s="457"/>
      <c r="I291" s="461"/>
      <c r="J291" s="459">
        <f t="shared" si="18"/>
        <v>0</v>
      </c>
      <c r="K291" s="460"/>
      <c r="M291">
        <f t="shared" si="16"/>
        <v>0</v>
      </c>
      <c r="N291" s="415"/>
      <c r="O291" s="415"/>
    </row>
    <row r="292" customFormat="1" ht="20" hidden="1" customHeight="1" spans="1:17">
      <c r="A292" s="418">
        <v>2040506</v>
      </c>
      <c r="B292" s="421" t="s">
        <v>327</v>
      </c>
      <c r="C292" s="464">
        <v>0</v>
      </c>
      <c r="D292" s="461"/>
      <c r="E292" s="464">
        <v>47</v>
      </c>
      <c r="F292" s="457"/>
      <c r="G292" s="458">
        <f t="shared" si="17"/>
        <v>47</v>
      </c>
      <c r="H292" s="457"/>
      <c r="I292" s="461"/>
      <c r="J292" s="459">
        <f t="shared" si="18"/>
        <v>0</v>
      </c>
      <c r="K292" s="460"/>
      <c r="M292">
        <f t="shared" si="16"/>
        <v>0</v>
      </c>
      <c r="N292" s="415"/>
      <c r="O292" s="415"/>
    </row>
    <row r="293" customFormat="1" ht="20" hidden="1" customHeight="1" spans="1:17">
      <c r="A293" s="418">
        <v>2040550</v>
      </c>
      <c r="B293" s="419" t="s">
        <v>174</v>
      </c>
      <c r="C293" s="464">
        <v>0</v>
      </c>
      <c r="D293" s="461"/>
      <c r="E293" s="464"/>
      <c r="F293" s="457"/>
      <c r="G293" s="458">
        <f t="shared" si="17"/>
        <v>0</v>
      </c>
      <c r="H293" s="457"/>
      <c r="I293" s="461"/>
      <c r="J293" s="459">
        <f t="shared" si="18"/>
        <v>0</v>
      </c>
      <c r="K293" s="460"/>
      <c r="M293">
        <f t="shared" si="16"/>
        <v>0</v>
      </c>
      <c r="N293" s="415"/>
      <c r="O293" s="415"/>
    </row>
    <row r="294" customFormat="1" ht="20" hidden="1" customHeight="1" spans="1:17">
      <c r="A294" s="418">
        <v>2040599</v>
      </c>
      <c r="B294" s="419" t="s">
        <v>328</v>
      </c>
      <c r="C294" s="464">
        <v>0.2</v>
      </c>
      <c r="D294" s="461"/>
      <c r="E294" s="464"/>
      <c r="F294" s="457"/>
      <c r="G294" s="458">
        <f t="shared" si="17"/>
        <v>-0.2</v>
      </c>
      <c r="H294" s="457">
        <f>G294/C294*100</f>
        <v>-100</v>
      </c>
      <c r="I294" s="461"/>
      <c r="J294" s="459">
        <f t="shared" si="18"/>
        <v>0</v>
      </c>
      <c r="K294" s="460"/>
      <c r="M294">
        <f t="shared" si="16"/>
        <v>0</v>
      </c>
      <c r="N294" s="415"/>
      <c r="O294" s="415"/>
    </row>
    <row r="295" customFormat="1" ht="20" hidden="1" customHeight="1" spans="1:17">
      <c r="A295" s="416">
        <v>20406</v>
      </c>
      <c r="B295" s="417" t="s">
        <v>329</v>
      </c>
      <c r="C295" s="456">
        <f>SUM(C296:C308)</f>
        <v>932.573341</v>
      </c>
      <c r="D295" s="456">
        <f>SUM(D296:D308)</f>
        <v>782.199653</v>
      </c>
      <c r="E295" s="456">
        <f>SUM(E296:E308)</f>
        <v>1067</v>
      </c>
      <c r="F295" s="457">
        <f>E295/D295*100</f>
        <v>136.410185802013</v>
      </c>
      <c r="G295" s="458">
        <f t="shared" si="17"/>
        <v>134.426659</v>
      </c>
      <c r="H295" s="457">
        <f>G295/C295*100</f>
        <v>14.4145938008322</v>
      </c>
      <c r="I295" s="456">
        <f>SUM(I296:I308)</f>
        <v>915.465693</v>
      </c>
      <c r="J295" s="459">
        <f t="shared" si="18"/>
        <v>133.26604</v>
      </c>
      <c r="K295" s="460">
        <f>J295/D295*100</f>
        <v>17.0373432778805</v>
      </c>
      <c r="M295">
        <f t="shared" si="16"/>
        <v>0</v>
      </c>
      <c r="N295" s="415"/>
      <c r="O295" s="415"/>
    </row>
    <row r="296" customFormat="1" ht="20" hidden="1" customHeight="1" spans="1:17">
      <c r="A296" s="418">
        <v>2040601</v>
      </c>
      <c r="B296" s="421" t="s">
        <v>165</v>
      </c>
      <c r="C296" s="461">
        <v>609.106423</v>
      </c>
      <c r="D296" s="466">
        <v>568.183109</v>
      </c>
      <c r="E296" s="461">
        <v>565</v>
      </c>
      <c r="F296" s="457">
        <f>E296/D296*100</f>
        <v>99.4397740887436</v>
      </c>
      <c r="G296" s="458">
        <f t="shared" si="17"/>
        <v>-44.1064229999999</v>
      </c>
      <c r="H296" s="457">
        <f>G296/C296*100</f>
        <v>-7.24116859296359</v>
      </c>
      <c r="I296" s="462">
        <v>529.569268</v>
      </c>
      <c r="J296" s="459">
        <f t="shared" si="18"/>
        <v>-38.613841</v>
      </c>
      <c r="K296" s="460">
        <f>J296/D296*100</f>
        <v>-6.79602057652861</v>
      </c>
      <c r="M296">
        <f t="shared" si="16"/>
        <v>577</v>
      </c>
      <c r="N296" s="415">
        <v>577</v>
      </c>
      <c r="O296" s="415"/>
    </row>
    <row r="297" customFormat="1" ht="20" hidden="1" customHeight="1" spans="1:17">
      <c r="A297" s="418">
        <v>2040602</v>
      </c>
      <c r="B297" s="421" t="s">
        <v>166</v>
      </c>
      <c r="C297" s="461">
        <v>250.113508</v>
      </c>
      <c r="D297" s="466">
        <v>61.3104</v>
      </c>
      <c r="E297" s="461">
        <v>264</v>
      </c>
      <c r="F297" s="457">
        <f>E297/D297*100</f>
        <v>430.595787990292</v>
      </c>
      <c r="G297" s="458">
        <f t="shared" si="17"/>
        <v>13.886492</v>
      </c>
      <c r="H297" s="457">
        <f>G297/C297*100</f>
        <v>5.55207597983872</v>
      </c>
      <c r="I297" s="466"/>
      <c r="J297" s="459">
        <f t="shared" si="18"/>
        <v>-61.3104</v>
      </c>
      <c r="K297" s="460">
        <f>J297/D297*100</f>
        <v>-100</v>
      </c>
      <c r="M297">
        <f t="shared" si="16"/>
        <v>114</v>
      </c>
      <c r="N297" s="415">
        <v>114</v>
      </c>
      <c r="O297" s="415"/>
      <c r="Q297">
        <v>38</v>
      </c>
    </row>
    <row r="298" customFormat="1" ht="20" hidden="1" customHeight="1" spans="1:17">
      <c r="A298" s="418">
        <v>2040603</v>
      </c>
      <c r="B298" s="421" t="s">
        <v>167</v>
      </c>
      <c r="C298" s="461">
        <v>0</v>
      </c>
      <c r="D298" s="461"/>
      <c r="E298" s="461">
        <v>0</v>
      </c>
      <c r="F298" s="457"/>
      <c r="G298" s="458">
        <f t="shared" si="17"/>
        <v>0</v>
      </c>
      <c r="H298" s="457"/>
      <c r="I298" s="461"/>
      <c r="J298" s="459">
        <f t="shared" si="18"/>
        <v>0</v>
      </c>
      <c r="K298" s="460"/>
      <c r="M298">
        <f t="shared" si="16"/>
        <v>0</v>
      </c>
      <c r="N298" s="415"/>
      <c r="O298" s="415"/>
    </row>
    <row r="299" customFormat="1" ht="20" hidden="1" customHeight="1" spans="1:17">
      <c r="A299" s="418">
        <v>2040604</v>
      </c>
      <c r="B299" s="422" t="s">
        <v>330</v>
      </c>
      <c r="C299" s="461">
        <v>12.766</v>
      </c>
      <c r="D299" s="461">
        <v>6.11</v>
      </c>
      <c r="E299" s="461">
        <v>29</v>
      </c>
      <c r="F299" s="457">
        <f>E299/D299*100</f>
        <v>474.631751227496</v>
      </c>
      <c r="G299" s="458">
        <f t="shared" si="17"/>
        <v>16.234</v>
      </c>
      <c r="H299" s="457">
        <f>G299/C299*100</f>
        <v>127.165909446969</v>
      </c>
      <c r="I299" s="461">
        <f>1.63+130+4.8</f>
        <v>136.43</v>
      </c>
      <c r="J299" s="459">
        <f t="shared" si="18"/>
        <v>130.32</v>
      </c>
      <c r="K299" s="460">
        <f>J299/D299*100</f>
        <v>2132.8968903437</v>
      </c>
      <c r="M299">
        <f t="shared" si="16"/>
        <v>15</v>
      </c>
      <c r="N299" s="415">
        <v>15</v>
      </c>
      <c r="O299" s="415"/>
      <c r="P299">
        <v>6</v>
      </c>
    </row>
    <row r="300" customFormat="1" ht="20" hidden="1" customHeight="1" spans="1:17">
      <c r="A300" s="418">
        <v>2040605</v>
      </c>
      <c r="B300" s="419" t="s">
        <v>331</v>
      </c>
      <c r="C300" s="461">
        <v>5</v>
      </c>
      <c r="D300" s="461"/>
      <c r="E300" s="461"/>
      <c r="F300" s="457"/>
      <c r="G300" s="458">
        <f t="shared" si="17"/>
        <v>-5</v>
      </c>
      <c r="H300" s="457">
        <f>G300/C300*100</f>
        <v>-100</v>
      </c>
      <c r="I300" s="461"/>
      <c r="J300" s="459">
        <f t="shared" si="18"/>
        <v>0</v>
      </c>
      <c r="K300" s="460"/>
      <c r="M300">
        <f t="shared" si="16"/>
        <v>10</v>
      </c>
      <c r="N300" s="415">
        <v>10</v>
      </c>
      <c r="O300" s="415"/>
    </row>
    <row r="301" customFormat="1" ht="20" hidden="1" customHeight="1" spans="1:17">
      <c r="A301" s="418">
        <v>2040606</v>
      </c>
      <c r="B301" s="419" t="s">
        <v>332</v>
      </c>
      <c r="C301" s="461">
        <v>0</v>
      </c>
      <c r="D301" s="466">
        <v>15</v>
      </c>
      <c r="E301" s="461">
        <v>0</v>
      </c>
      <c r="F301" s="457">
        <f>E301/D301*100</f>
        <v>0</v>
      </c>
      <c r="G301" s="458">
        <f t="shared" si="17"/>
        <v>0</v>
      </c>
      <c r="H301" s="457"/>
      <c r="I301" s="462">
        <v>10</v>
      </c>
      <c r="J301" s="459">
        <f t="shared" si="18"/>
        <v>-5</v>
      </c>
      <c r="K301" s="460">
        <f>J301/D301*100</f>
        <v>-33.3333333333333</v>
      </c>
      <c r="M301">
        <f t="shared" ref="M301:M364" si="19">N301+O301</f>
        <v>15</v>
      </c>
      <c r="N301" s="415">
        <v>15</v>
      </c>
      <c r="O301" s="415"/>
    </row>
    <row r="302" customFormat="1" ht="20" hidden="1" customHeight="1" spans="1:17">
      <c r="A302" s="418">
        <v>2040607</v>
      </c>
      <c r="B302" s="419" t="s">
        <v>333</v>
      </c>
      <c r="C302" s="461">
        <v>11</v>
      </c>
      <c r="D302" s="461"/>
      <c r="E302" s="461">
        <v>11</v>
      </c>
      <c r="F302" s="457"/>
      <c r="G302" s="458">
        <f t="shared" si="17"/>
        <v>0</v>
      </c>
      <c r="H302" s="457">
        <f>G302/C302*100</f>
        <v>0</v>
      </c>
      <c r="I302" s="461"/>
      <c r="J302" s="459">
        <f t="shared" si="18"/>
        <v>0</v>
      </c>
      <c r="K302" s="460"/>
      <c r="M302">
        <f t="shared" si="19"/>
        <v>3</v>
      </c>
      <c r="N302" s="415">
        <v>3</v>
      </c>
      <c r="O302" s="415"/>
    </row>
    <row r="303" customFormat="1" ht="20" hidden="1" customHeight="1" spans="1:17">
      <c r="A303" s="418">
        <v>2040608</v>
      </c>
      <c r="B303" s="421" t="s">
        <v>334</v>
      </c>
      <c r="C303" s="461">
        <v>0</v>
      </c>
      <c r="D303" s="461"/>
      <c r="E303" s="461">
        <v>0</v>
      </c>
      <c r="F303" s="457"/>
      <c r="G303" s="458">
        <f t="shared" si="17"/>
        <v>0</v>
      </c>
      <c r="H303" s="457"/>
      <c r="I303" s="461"/>
      <c r="J303" s="459">
        <f t="shared" si="18"/>
        <v>0</v>
      </c>
      <c r="K303" s="460"/>
      <c r="M303">
        <f t="shared" si="19"/>
        <v>0</v>
      </c>
      <c r="N303" s="415"/>
      <c r="O303" s="415"/>
    </row>
    <row r="304" customFormat="1" ht="20" hidden="1" customHeight="1" spans="1:17">
      <c r="A304" s="418">
        <v>2040610</v>
      </c>
      <c r="B304" s="421" t="s">
        <v>335</v>
      </c>
      <c r="C304" s="461">
        <v>8.986</v>
      </c>
      <c r="D304" s="461"/>
      <c r="E304" s="461"/>
      <c r="F304" s="457"/>
      <c r="G304" s="458">
        <f t="shared" si="17"/>
        <v>-8.986</v>
      </c>
      <c r="H304" s="457">
        <f>G304/C304*100</f>
        <v>-100</v>
      </c>
      <c r="I304" s="461">
        <v>9</v>
      </c>
      <c r="J304" s="459">
        <f t="shared" si="18"/>
        <v>9</v>
      </c>
      <c r="K304" s="460"/>
      <c r="M304">
        <f t="shared" si="19"/>
        <v>12</v>
      </c>
      <c r="N304" s="415">
        <v>12</v>
      </c>
      <c r="O304" s="415"/>
    </row>
    <row r="305" customFormat="1" ht="20" hidden="1" customHeight="1" spans="1:15">
      <c r="A305" s="418">
        <v>2040612</v>
      </c>
      <c r="B305" s="421" t="s">
        <v>336</v>
      </c>
      <c r="C305" s="461">
        <v>1.223</v>
      </c>
      <c r="D305" s="461"/>
      <c r="E305" s="461"/>
      <c r="F305" s="457"/>
      <c r="G305" s="458">
        <f t="shared" si="17"/>
        <v>-1.223</v>
      </c>
      <c r="H305" s="457">
        <f>G305/C305*100</f>
        <v>-100</v>
      </c>
      <c r="I305" s="461"/>
      <c r="J305" s="459">
        <f t="shared" si="18"/>
        <v>0</v>
      </c>
      <c r="K305" s="460"/>
      <c r="M305">
        <f t="shared" si="19"/>
        <v>1</v>
      </c>
      <c r="N305" s="415">
        <v>1</v>
      </c>
      <c r="O305" s="415"/>
    </row>
    <row r="306" customFormat="1" ht="20" hidden="1" customHeight="1" spans="1:15">
      <c r="A306" s="418">
        <v>2040613</v>
      </c>
      <c r="B306" s="421" t="s">
        <v>207</v>
      </c>
      <c r="C306" s="461">
        <v>0</v>
      </c>
      <c r="D306" s="461"/>
      <c r="E306" s="461">
        <v>0</v>
      </c>
      <c r="F306" s="457"/>
      <c r="G306" s="458">
        <f t="shared" si="17"/>
        <v>0</v>
      </c>
      <c r="H306" s="457"/>
      <c r="I306" s="461"/>
      <c r="J306" s="459">
        <f t="shared" si="18"/>
        <v>0</v>
      </c>
      <c r="K306" s="460"/>
      <c r="M306">
        <f t="shared" si="19"/>
        <v>0</v>
      </c>
      <c r="N306" s="415"/>
      <c r="O306" s="415"/>
    </row>
    <row r="307" customFormat="1" ht="20" hidden="1" customHeight="1" spans="1:15">
      <c r="A307" s="418">
        <v>2040650</v>
      </c>
      <c r="B307" s="421" t="s">
        <v>174</v>
      </c>
      <c r="C307" s="461">
        <v>0</v>
      </c>
      <c r="D307" s="466">
        <v>60.044844</v>
      </c>
      <c r="E307" s="461">
        <v>65</v>
      </c>
      <c r="F307" s="457">
        <f>E307/D307*100</f>
        <v>108.252425470537</v>
      </c>
      <c r="G307" s="458">
        <f t="shared" si="17"/>
        <v>65</v>
      </c>
      <c r="H307" s="457"/>
      <c r="I307" s="462">
        <v>70.208425</v>
      </c>
      <c r="J307" s="459">
        <f t="shared" si="18"/>
        <v>10.163581</v>
      </c>
      <c r="K307" s="460">
        <f>J307/D307*100</f>
        <v>16.9266506879425</v>
      </c>
      <c r="M307">
        <f t="shared" si="19"/>
        <v>0</v>
      </c>
      <c r="N307" s="415"/>
      <c r="O307" s="415"/>
    </row>
    <row r="308" customFormat="1" ht="20" hidden="1" customHeight="1" spans="1:15">
      <c r="A308" s="418">
        <v>2040699</v>
      </c>
      <c r="B308" s="419" t="s">
        <v>337</v>
      </c>
      <c r="C308" s="461">
        <v>34.37841</v>
      </c>
      <c r="D308" s="466">
        <f>53.1+18.4513</f>
        <v>71.5513</v>
      </c>
      <c r="E308" s="461">
        <v>133</v>
      </c>
      <c r="F308" s="457">
        <f>E308/D308*100</f>
        <v>185.880619918855</v>
      </c>
      <c r="G308" s="458">
        <f t="shared" si="17"/>
        <v>98.62159</v>
      </c>
      <c r="H308" s="457">
        <f>G308/C308*100</f>
        <v>286.870713334328</v>
      </c>
      <c r="I308" s="462">
        <f>31.768+33.49+95</f>
        <v>160.258</v>
      </c>
      <c r="J308" s="459">
        <f t="shared" si="18"/>
        <v>88.7067</v>
      </c>
      <c r="K308" s="460">
        <f>J308/D308*100</f>
        <v>123.976363811699</v>
      </c>
      <c r="M308">
        <f t="shared" si="19"/>
        <v>0</v>
      </c>
      <c r="N308" s="415"/>
      <c r="O308" s="415"/>
    </row>
    <row r="309" customFormat="1" ht="20" hidden="1" customHeight="1" spans="1:15">
      <c r="A309" s="416">
        <v>20407</v>
      </c>
      <c r="B309" s="417" t="s">
        <v>338</v>
      </c>
      <c r="C309" s="456">
        <v>0</v>
      </c>
      <c r="D309" s="456"/>
      <c r="E309" s="456">
        <v>0</v>
      </c>
      <c r="F309" s="457"/>
      <c r="G309" s="458">
        <f t="shared" si="17"/>
        <v>0</v>
      </c>
      <c r="H309" s="457"/>
      <c r="I309" s="456">
        <f>SUM(I310:I318)</f>
        <v>227.009989</v>
      </c>
      <c r="J309" s="459">
        <f t="shared" si="18"/>
        <v>227.009989</v>
      </c>
      <c r="K309" s="460"/>
      <c r="M309">
        <f t="shared" si="19"/>
        <v>0</v>
      </c>
      <c r="N309" s="415"/>
      <c r="O309" s="415"/>
    </row>
    <row r="310" customFormat="1" ht="20" hidden="1" customHeight="1" spans="1:15">
      <c r="A310" s="418">
        <v>2040701</v>
      </c>
      <c r="B310" s="419" t="s">
        <v>165</v>
      </c>
      <c r="C310" s="461">
        <v>0</v>
      </c>
      <c r="D310" s="461"/>
      <c r="E310" s="461">
        <v>0</v>
      </c>
      <c r="F310" s="457"/>
      <c r="G310" s="458">
        <f t="shared" si="17"/>
        <v>0</v>
      </c>
      <c r="H310" s="457"/>
      <c r="I310" s="461"/>
      <c r="J310" s="459">
        <f t="shared" si="18"/>
        <v>0</v>
      </c>
      <c r="K310" s="460"/>
      <c r="M310">
        <f t="shared" si="19"/>
        <v>0</v>
      </c>
      <c r="N310" s="415"/>
      <c r="O310" s="415"/>
    </row>
    <row r="311" customFormat="1" ht="20" hidden="1" customHeight="1" spans="1:15">
      <c r="A311" s="418">
        <v>2040702</v>
      </c>
      <c r="B311" s="421" t="s">
        <v>166</v>
      </c>
      <c r="C311" s="461">
        <v>0</v>
      </c>
      <c r="D311" s="461"/>
      <c r="E311" s="461">
        <v>0</v>
      </c>
      <c r="F311" s="457"/>
      <c r="G311" s="458">
        <f t="shared" si="17"/>
        <v>0</v>
      </c>
      <c r="H311" s="457"/>
      <c r="I311" s="462">
        <v>227.009989</v>
      </c>
      <c r="J311" s="459">
        <f t="shared" si="18"/>
        <v>227.009989</v>
      </c>
      <c r="K311" s="460"/>
      <c r="M311">
        <f t="shared" si="19"/>
        <v>0</v>
      </c>
      <c r="N311" s="415"/>
      <c r="O311" s="415"/>
    </row>
    <row r="312" customFormat="1" ht="20" hidden="1" customHeight="1" spans="1:15">
      <c r="A312" s="418">
        <v>2040703</v>
      </c>
      <c r="B312" s="421" t="s">
        <v>167</v>
      </c>
      <c r="C312" s="461">
        <v>0</v>
      </c>
      <c r="D312" s="461"/>
      <c r="E312" s="461">
        <v>0</v>
      </c>
      <c r="F312" s="457"/>
      <c r="G312" s="458">
        <f t="shared" si="17"/>
        <v>0</v>
      </c>
      <c r="H312" s="457"/>
      <c r="I312" s="461"/>
      <c r="J312" s="459">
        <f t="shared" si="18"/>
        <v>0</v>
      </c>
      <c r="K312" s="460"/>
      <c r="M312">
        <f t="shared" si="19"/>
        <v>0</v>
      </c>
      <c r="N312" s="415"/>
      <c r="O312" s="415"/>
    </row>
    <row r="313" customFormat="1" ht="20" hidden="1" customHeight="1" spans="1:15">
      <c r="A313" s="418">
        <v>2040704</v>
      </c>
      <c r="B313" s="421" t="s">
        <v>339</v>
      </c>
      <c r="C313" s="461">
        <v>0</v>
      </c>
      <c r="D313" s="461"/>
      <c r="E313" s="461">
        <v>0</v>
      </c>
      <c r="F313" s="457"/>
      <c r="G313" s="458">
        <f t="shared" si="17"/>
        <v>0</v>
      </c>
      <c r="H313" s="457"/>
      <c r="I313" s="461"/>
      <c r="J313" s="459">
        <f t="shared" si="18"/>
        <v>0</v>
      </c>
      <c r="K313" s="460"/>
      <c r="M313">
        <f t="shared" si="19"/>
        <v>0</v>
      </c>
      <c r="N313" s="415"/>
      <c r="O313" s="415"/>
    </row>
    <row r="314" customFormat="1" ht="20" hidden="1" customHeight="1" spans="1:15">
      <c r="A314" s="418">
        <v>2040705</v>
      </c>
      <c r="B314" s="422" t="s">
        <v>340</v>
      </c>
      <c r="C314" s="461">
        <v>0</v>
      </c>
      <c r="D314" s="461"/>
      <c r="E314" s="461">
        <v>0</v>
      </c>
      <c r="F314" s="457"/>
      <c r="G314" s="458">
        <f t="shared" si="17"/>
        <v>0</v>
      </c>
      <c r="H314" s="457"/>
      <c r="I314" s="461"/>
      <c r="J314" s="459">
        <f t="shared" si="18"/>
        <v>0</v>
      </c>
      <c r="K314" s="460"/>
      <c r="M314">
        <f t="shared" si="19"/>
        <v>0</v>
      </c>
      <c r="N314" s="415"/>
      <c r="O314" s="415"/>
    </row>
    <row r="315" customFormat="1" ht="20" hidden="1" customHeight="1" spans="1:15">
      <c r="A315" s="418">
        <v>2040706</v>
      </c>
      <c r="B315" s="419" t="s">
        <v>341</v>
      </c>
      <c r="C315" s="461">
        <v>0</v>
      </c>
      <c r="D315" s="461"/>
      <c r="E315" s="461">
        <v>0</v>
      </c>
      <c r="F315" s="457"/>
      <c r="G315" s="458">
        <f t="shared" si="17"/>
        <v>0</v>
      </c>
      <c r="H315" s="457"/>
      <c r="I315" s="461"/>
      <c r="J315" s="459">
        <f t="shared" si="18"/>
        <v>0</v>
      </c>
      <c r="K315" s="460"/>
      <c r="M315">
        <f t="shared" si="19"/>
        <v>0</v>
      </c>
      <c r="N315" s="415"/>
      <c r="O315" s="415"/>
    </row>
    <row r="316" customFormat="1" ht="20" hidden="1" customHeight="1" spans="1:15">
      <c r="A316" s="418">
        <v>2040707</v>
      </c>
      <c r="B316" s="419" t="s">
        <v>207</v>
      </c>
      <c r="C316" s="461">
        <v>0</v>
      </c>
      <c r="D316" s="461"/>
      <c r="E316" s="461">
        <v>0</v>
      </c>
      <c r="F316" s="457"/>
      <c r="G316" s="458">
        <f t="shared" si="17"/>
        <v>0</v>
      </c>
      <c r="H316" s="457"/>
      <c r="I316" s="461"/>
      <c r="J316" s="459">
        <f t="shared" si="18"/>
        <v>0</v>
      </c>
      <c r="K316" s="460"/>
      <c r="M316">
        <f t="shared" si="19"/>
        <v>0</v>
      </c>
      <c r="N316" s="415"/>
      <c r="O316" s="415"/>
    </row>
    <row r="317" customFormat="1" ht="20" hidden="1" customHeight="1" spans="1:15">
      <c r="A317" s="418">
        <v>2040750</v>
      </c>
      <c r="B317" s="419" t="s">
        <v>174</v>
      </c>
      <c r="C317" s="461">
        <v>0</v>
      </c>
      <c r="D317" s="461"/>
      <c r="E317" s="461">
        <v>0</v>
      </c>
      <c r="F317" s="457"/>
      <c r="G317" s="458">
        <f t="shared" si="17"/>
        <v>0</v>
      </c>
      <c r="H317" s="457"/>
      <c r="I317" s="461"/>
      <c r="J317" s="459">
        <f t="shared" si="18"/>
        <v>0</v>
      </c>
      <c r="K317" s="460"/>
      <c r="M317">
        <f t="shared" si="19"/>
        <v>0</v>
      </c>
      <c r="N317" s="415"/>
      <c r="O317" s="415"/>
    </row>
    <row r="318" customFormat="1" ht="20" hidden="1" customHeight="1" spans="1:15">
      <c r="A318" s="418">
        <v>2040799</v>
      </c>
      <c r="B318" s="419" t="s">
        <v>342</v>
      </c>
      <c r="C318" s="461">
        <v>0</v>
      </c>
      <c r="D318" s="461"/>
      <c r="E318" s="461">
        <v>0</v>
      </c>
      <c r="F318" s="457"/>
      <c r="G318" s="458">
        <f t="shared" si="17"/>
        <v>0</v>
      </c>
      <c r="H318" s="457"/>
      <c r="I318" s="461"/>
      <c r="J318" s="459">
        <f t="shared" si="18"/>
        <v>0</v>
      </c>
      <c r="K318" s="460"/>
      <c r="M318">
        <f t="shared" si="19"/>
        <v>0</v>
      </c>
      <c r="N318" s="415"/>
      <c r="O318" s="415"/>
    </row>
    <row r="319" customFormat="1" ht="20" hidden="1" customHeight="1" spans="1:15">
      <c r="A319" s="416">
        <v>20408</v>
      </c>
      <c r="B319" s="426" t="s">
        <v>343</v>
      </c>
      <c r="C319" s="456">
        <v>0</v>
      </c>
      <c r="D319" s="456"/>
      <c r="E319" s="456">
        <v>0</v>
      </c>
      <c r="F319" s="457"/>
      <c r="G319" s="458">
        <f t="shared" si="17"/>
        <v>0</v>
      </c>
      <c r="H319" s="457"/>
      <c r="I319" s="456"/>
      <c r="J319" s="459">
        <f t="shared" si="18"/>
        <v>0</v>
      </c>
      <c r="K319" s="460"/>
      <c r="M319">
        <f t="shared" si="19"/>
        <v>0</v>
      </c>
      <c r="N319" s="415"/>
      <c r="O319" s="415"/>
    </row>
    <row r="320" customFormat="1" ht="20" hidden="1" customHeight="1" spans="1:15">
      <c r="A320" s="418">
        <v>2040801</v>
      </c>
      <c r="B320" s="421" t="s">
        <v>165</v>
      </c>
      <c r="C320" s="461">
        <v>0</v>
      </c>
      <c r="D320" s="461"/>
      <c r="E320" s="461">
        <v>0</v>
      </c>
      <c r="F320" s="457"/>
      <c r="G320" s="458">
        <f t="shared" si="17"/>
        <v>0</v>
      </c>
      <c r="H320" s="457"/>
      <c r="I320" s="461"/>
      <c r="J320" s="459">
        <f t="shared" si="18"/>
        <v>0</v>
      </c>
      <c r="K320" s="460"/>
      <c r="M320">
        <f t="shared" si="19"/>
        <v>0</v>
      </c>
      <c r="N320" s="415"/>
      <c r="O320" s="415"/>
    </row>
    <row r="321" customFormat="1" ht="20" hidden="1" customHeight="1" spans="1:15">
      <c r="A321" s="418">
        <v>2040802</v>
      </c>
      <c r="B321" s="421" t="s">
        <v>166</v>
      </c>
      <c r="C321" s="461">
        <v>0</v>
      </c>
      <c r="D321" s="461"/>
      <c r="E321" s="461">
        <v>0</v>
      </c>
      <c r="F321" s="457"/>
      <c r="G321" s="458">
        <f t="shared" si="17"/>
        <v>0</v>
      </c>
      <c r="H321" s="457"/>
      <c r="I321" s="461"/>
      <c r="J321" s="459">
        <f t="shared" si="18"/>
        <v>0</v>
      </c>
      <c r="K321" s="460"/>
      <c r="M321">
        <f t="shared" si="19"/>
        <v>0</v>
      </c>
      <c r="N321" s="415"/>
      <c r="O321" s="415"/>
    </row>
    <row r="322" customFormat="1" ht="20" hidden="1" customHeight="1" spans="1:15">
      <c r="A322" s="418">
        <v>2040803</v>
      </c>
      <c r="B322" s="419" t="s">
        <v>167</v>
      </c>
      <c r="C322" s="461">
        <v>0</v>
      </c>
      <c r="D322" s="461"/>
      <c r="E322" s="461">
        <v>0</v>
      </c>
      <c r="F322" s="457"/>
      <c r="G322" s="458">
        <f t="shared" si="17"/>
        <v>0</v>
      </c>
      <c r="H322" s="457"/>
      <c r="I322" s="461"/>
      <c r="J322" s="459">
        <f t="shared" si="18"/>
        <v>0</v>
      </c>
      <c r="K322" s="460"/>
      <c r="M322">
        <f t="shared" si="19"/>
        <v>0</v>
      </c>
      <c r="N322" s="415"/>
      <c r="O322" s="415"/>
    </row>
    <row r="323" customFormat="1" ht="20" hidden="1" customHeight="1" spans="1:15">
      <c r="A323" s="418">
        <v>2040804</v>
      </c>
      <c r="B323" s="419" t="s">
        <v>344</v>
      </c>
      <c r="C323" s="461">
        <v>0</v>
      </c>
      <c r="D323" s="461"/>
      <c r="E323" s="461">
        <v>0</v>
      </c>
      <c r="F323" s="457"/>
      <c r="G323" s="458">
        <f t="shared" si="17"/>
        <v>0</v>
      </c>
      <c r="H323" s="457"/>
      <c r="I323" s="461"/>
      <c r="J323" s="459">
        <f t="shared" si="18"/>
        <v>0</v>
      </c>
      <c r="K323" s="460"/>
      <c r="M323">
        <f t="shared" si="19"/>
        <v>0</v>
      </c>
      <c r="N323" s="415"/>
      <c r="O323" s="415"/>
    </row>
    <row r="324" customFormat="1" ht="20" hidden="1" customHeight="1" spans="1:15">
      <c r="A324" s="418">
        <v>2040805</v>
      </c>
      <c r="B324" s="419" t="s">
        <v>345</v>
      </c>
      <c r="C324" s="461">
        <v>0</v>
      </c>
      <c r="D324" s="461"/>
      <c r="E324" s="461">
        <v>0</v>
      </c>
      <c r="F324" s="457"/>
      <c r="G324" s="458">
        <f t="shared" si="17"/>
        <v>0</v>
      </c>
      <c r="H324" s="457"/>
      <c r="I324" s="461"/>
      <c r="J324" s="459">
        <f t="shared" si="18"/>
        <v>0</v>
      </c>
      <c r="K324" s="460"/>
      <c r="M324">
        <f t="shared" si="19"/>
        <v>0</v>
      </c>
      <c r="N324" s="415"/>
      <c r="O324" s="415"/>
    </row>
    <row r="325" customFormat="1" ht="20" hidden="1" customHeight="1" spans="1:15">
      <c r="A325" s="418">
        <v>2040806</v>
      </c>
      <c r="B325" s="421" t="s">
        <v>346</v>
      </c>
      <c r="C325" s="461">
        <v>0</v>
      </c>
      <c r="D325" s="461"/>
      <c r="E325" s="461">
        <v>0</v>
      </c>
      <c r="F325" s="457"/>
      <c r="G325" s="458">
        <f t="shared" si="17"/>
        <v>0</v>
      </c>
      <c r="H325" s="457"/>
      <c r="I325" s="461"/>
      <c r="J325" s="459">
        <f t="shared" si="18"/>
        <v>0</v>
      </c>
      <c r="K325" s="460"/>
      <c r="M325">
        <f t="shared" si="19"/>
        <v>0</v>
      </c>
      <c r="N325" s="415"/>
      <c r="O325" s="415"/>
    </row>
    <row r="326" customFormat="1" ht="20" hidden="1" customHeight="1" spans="1:15">
      <c r="A326" s="418">
        <v>2040807</v>
      </c>
      <c r="B326" s="419" t="s">
        <v>207</v>
      </c>
      <c r="C326" s="461">
        <v>0</v>
      </c>
      <c r="D326" s="461"/>
      <c r="E326" s="461">
        <v>0</v>
      </c>
      <c r="F326" s="457"/>
      <c r="G326" s="458">
        <f t="shared" si="17"/>
        <v>0</v>
      </c>
      <c r="H326" s="457"/>
      <c r="I326" s="461"/>
      <c r="J326" s="459">
        <f t="shared" si="18"/>
        <v>0</v>
      </c>
      <c r="K326" s="460"/>
      <c r="M326">
        <f t="shared" si="19"/>
        <v>0</v>
      </c>
      <c r="N326" s="415"/>
      <c r="O326" s="415"/>
    </row>
    <row r="327" customFormat="1" ht="20" hidden="1" customHeight="1" spans="1:15">
      <c r="A327" s="418">
        <v>2040850</v>
      </c>
      <c r="B327" s="421" t="s">
        <v>174</v>
      </c>
      <c r="C327" s="461">
        <v>0</v>
      </c>
      <c r="D327" s="461"/>
      <c r="E327" s="461">
        <v>0</v>
      </c>
      <c r="F327" s="457"/>
      <c r="G327" s="458">
        <f t="shared" ref="G327:G390" si="20">E327-C327</f>
        <v>0</v>
      </c>
      <c r="H327" s="457"/>
      <c r="I327" s="461"/>
      <c r="J327" s="459">
        <f t="shared" ref="J327:J390" si="21">I327-D327</f>
        <v>0</v>
      </c>
      <c r="K327" s="460"/>
      <c r="M327">
        <f t="shared" si="19"/>
        <v>0</v>
      </c>
      <c r="N327" s="415"/>
      <c r="O327" s="415"/>
    </row>
    <row r="328" customFormat="1" ht="20" hidden="1" customHeight="1" spans="1:15">
      <c r="A328" s="418">
        <v>2040899</v>
      </c>
      <c r="B328" s="421" t="s">
        <v>347</v>
      </c>
      <c r="C328" s="461">
        <v>0</v>
      </c>
      <c r="D328" s="461"/>
      <c r="E328" s="461">
        <v>0</v>
      </c>
      <c r="F328" s="457"/>
      <c r="G328" s="458">
        <f t="shared" si="20"/>
        <v>0</v>
      </c>
      <c r="H328" s="457"/>
      <c r="I328" s="461"/>
      <c r="J328" s="459">
        <f t="shared" si="21"/>
        <v>0</v>
      </c>
      <c r="K328" s="460"/>
      <c r="M328">
        <f t="shared" si="19"/>
        <v>0</v>
      </c>
      <c r="N328" s="415"/>
      <c r="O328" s="415"/>
    </row>
    <row r="329" customFormat="1" ht="20" hidden="1" customHeight="1" spans="1:15">
      <c r="A329" s="416">
        <v>20409</v>
      </c>
      <c r="B329" s="427" t="s">
        <v>348</v>
      </c>
      <c r="C329" s="456">
        <v>0</v>
      </c>
      <c r="D329" s="456"/>
      <c r="E329" s="456">
        <v>0</v>
      </c>
      <c r="F329" s="457"/>
      <c r="G329" s="458">
        <f t="shared" si="20"/>
        <v>0</v>
      </c>
      <c r="H329" s="457"/>
      <c r="I329" s="456"/>
      <c r="J329" s="459">
        <f t="shared" si="21"/>
        <v>0</v>
      </c>
      <c r="K329" s="460"/>
      <c r="M329">
        <f t="shared" si="19"/>
        <v>0</v>
      </c>
      <c r="N329" s="415"/>
      <c r="O329" s="415"/>
    </row>
    <row r="330" customFormat="1" ht="20" hidden="1" customHeight="1" spans="1:15">
      <c r="A330" s="418">
        <v>2040901</v>
      </c>
      <c r="B330" s="419" t="s">
        <v>165</v>
      </c>
      <c r="C330" s="461">
        <v>0</v>
      </c>
      <c r="D330" s="461"/>
      <c r="E330" s="461">
        <v>0</v>
      </c>
      <c r="F330" s="457"/>
      <c r="G330" s="458">
        <f t="shared" si="20"/>
        <v>0</v>
      </c>
      <c r="H330" s="457"/>
      <c r="I330" s="461"/>
      <c r="J330" s="459">
        <f t="shared" si="21"/>
        <v>0</v>
      </c>
      <c r="K330" s="460"/>
      <c r="M330">
        <f t="shared" si="19"/>
        <v>0</v>
      </c>
      <c r="N330" s="415"/>
      <c r="O330" s="415"/>
    </row>
    <row r="331" customFormat="1" ht="20" hidden="1" customHeight="1" spans="1:15">
      <c r="A331" s="418">
        <v>2040902</v>
      </c>
      <c r="B331" s="419" t="s">
        <v>166</v>
      </c>
      <c r="C331" s="461">
        <v>0</v>
      </c>
      <c r="D331" s="461"/>
      <c r="E331" s="461">
        <v>0</v>
      </c>
      <c r="F331" s="457"/>
      <c r="G331" s="458">
        <f t="shared" si="20"/>
        <v>0</v>
      </c>
      <c r="H331" s="457"/>
      <c r="I331" s="461"/>
      <c r="J331" s="459">
        <f t="shared" si="21"/>
        <v>0</v>
      </c>
      <c r="K331" s="460"/>
      <c r="M331">
        <f t="shared" si="19"/>
        <v>0</v>
      </c>
      <c r="N331" s="415"/>
      <c r="O331" s="415"/>
    </row>
    <row r="332" customFormat="1" ht="20" hidden="1" customHeight="1" spans="1:15">
      <c r="A332" s="418">
        <v>2040903</v>
      </c>
      <c r="B332" s="419" t="s">
        <v>167</v>
      </c>
      <c r="C332" s="461">
        <v>0</v>
      </c>
      <c r="D332" s="461"/>
      <c r="E332" s="461">
        <v>0</v>
      </c>
      <c r="F332" s="457"/>
      <c r="G332" s="458">
        <f t="shared" si="20"/>
        <v>0</v>
      </c>
      <c r="H332" s="457"/>
      <c r="I332" s="461"/>
      <c r="J332" s="459">
        <f t="shared" si="21"/>
        <v>0</v>
      </c>
      <c r="K332" s="460"/>
      <c r="M332">
        <f t="shared" si="19"/>
        <v>0</v>
      </c>
      <c r="N332" s="415"/>
      <c r="O332" s="415"/>
    </row>
    <row r="333" customFormat="1" ht="20" hidden="1" customHeight="1" spans="1:15">
      <c r="A333" s="418">
        <v>2040904</v>
      </c>
      <c r="B333" s="421" t="s">
        <v>349</v>
      </c>
      <c r="C333" s="461">
        <v>0</v>
      </c>
      <c r="D333" s="461"/>
      <c r="E333" s="461">
        <v>0</v>
      </c>
      <c r="F333" s="457"/>
      <c r="G333" s="458">
        <f t="shared" si="20"/>
        <v>0</v>
      </c>
      <c r="H333" s="457"/>
      <c r="I333" s="461"/>
      <c r="J333" s="459">
        <f t="shared" si="21"/>
        <v>0</v>
      </c>
      <c r="K333" s="460"/>
      <c r="M333">
        <f t="shared" si="19"/>
        <v>0</v>
      </c>
      <c r="N333" s="415"/>
      <c r="O333" s="415"/>
    </row>
    <row r="334" customFormat="1" ht="20" hidden="1" customHeight="1" spans="1:15">
      <c r="A334" s="418">
        <v>2040905</v>
      </c>
      <c r="B334" s="421" t="s">
        <v>350</v>
      </c>
      <c r="C334" s="461">
        <v>0</v>
      </c>
      <c r="D334" s="461"/>
      <c r="E334" s="461">
        <v>0</v>
      </c>
      <c r="F334" s="457"/>
      <c r="G334" s="458">
        <f t="shared" si="20"/>
        <v>0</v>
      </c>
      <c r="H334" s="457"/>
      <c r="I334" s="461"/>
      <c r="J334" s="459">
        <f t="shared" si="21"/>
        <v>0</v>
      </c>
      <c r="K334" s="460"/>
      <c r="M334">
        <f t="shared" si="19"/>
        <v>0</v>
      </c>
      <c r="N334" s="415"/>
      <c r="O334" s="415"/>
    </row>
    <row r="335" customFormat="1" ht="20" hidden="1" customHeight="1" spans="1:15">
      <c r="A335" s="418">
        <v>2040950</v>
      </c>
      <c r="B335" s="421" t="s">
        <v>174</v>
      </c>
      <c r="C335" s="461">
        <v>0</v>
      </c>
      <c r="D335" s="461"/>
      <c r="E335" s="461">
        <v>0</v>
      </c>
      <c r="F335" s="457"/>
      <c r="G335" s="458">
        <f t="shared" si="20"/>
        <v>0</v>
      </c>
      <c r="H335" s="457"/>
      <c r="I335" s="461"/>
      <c r="J335" s="459">
        <f t="shared" si="21"/>
        <v>0</v>
      </c>
      <c r="K335" s="460"/>
      <c r="M335">
        <f t="shared" si="19"/>
        <v>0</v>
      </c>
      <c r="N335" s="415"/>
      <c r="O335" s="415"/>
    </row>
    <row r="336" customFormat="1" ht="20" hidden="1" customHeight="1" spans="1:15">
      <c r="A336" s="418">
        <v>2040999</v>
      </c>
      <c r="B336" s="419" t="s">
        <v>351</v>
      </c>
      <c r="C336" s="461">
        <v>0</v>
      </c>
      <c r="D336" s="461"/>
      <c r="E336" s="461">
        <v>0</v>
      </c>
      <c r="F336" s="457"/>
      <c r="G336" s="458">
        <f t="shared" si="20"/>
        <v>0</v>
      </c>
      <c r="H336" s="457"/>
      <c r="I336" s="461"/>
      <c r="J336" s="459">
        <f t="shared" si="21"/>
        <v>0</v>
      </c>
      <c r="K336" s="460"/>
      <c r="M336">
        <f t="shared" si="19"/>
        <v>0</v>
      </c>
      <c r="N336" s="415"/>
      <c r="O336" s="415"/>
    </row>
    <row r="337" customFormat="1" ht="20" hidden="1" customHeight="1" spans="1:17">
      <c r="A337" s="416">
        <v>20410</v>
      </c>
      <c r="B337" s="417" t="s">
        <v>352</v>
      </c>
      <c r="C337" s="456">
        <v>0</v>
      </c>
      <c r="D337" s="456"/>
      <c r="E337" s="456">
        <v>0</v>
      </c>
      <c r="F337" s="457"/>
      <c r="G337" s="458">
        <f t="shared" si="20"/>
        <v>0</v>
      </c>
      <c r="H337" s="457"/>
      <c r="I337" s="456"/>
      <c r="J337" s="459">
        <f t="shared" si="21"/>
        <v>0</v>
      </c>
      <c r="K337" s="460"/>
      <c r="M337">
        <f t="shared" si="19"/>
        <v>0</v>
      </c>
      <c r="N337" s="415"/>
      <c r="O337" s="415"/>
    </row>
    <row r="338" customFormat="1" ht="20" hidden="1" customHeight="1" spans="1:17">
      <c r="A338" s="418">
        <v>2041001</v>
      </c>
      <c r="B338" s="419" t="s">
        <v>165</v>
      </c>
      <c r="C338" s="461">
        <v>0</v>
      </c>
      <c r="D338" s="461"/>
      <c r="E338" s="461">
        <v>0</v>
      </c>
      <c r="F338" s="457"/>
      <c r="G338" s="458">
        <f t="shared" si="20"/>
        <v>0</v>
      </c>
      <c r="H338" s="457"/>
      <c r="I338" s="461"/>
      <c r="J338" s="459">
        <f t="shared" si="21"/>
        <v>0</v>
      </c>
      <c r="K338" s="460"/>
      <c r="M338">
        <f t="shared" si="19"/>
        <v>0</v>
      </c>
      <c r="N338" s="415"/>
      <c r="O338" s="415"/>
    </row>
    <row r="339" customFormat="1" ht="20" hidden="1" customHeight="1" spans="1:17">
      <c r="A339" s="418">
        <v>2041002</v>
      </c>
      <c r="B339" s="421" t="s">
        <v>166</v>
      </c>
      <c r="C339" s="461">
        <v>0</v>
      </c>
      <c r="D339" s="461"/>
      <c r="E339" s="461">
        <v>0</v>
      </c>
      <c r="F339" s="457"/>
      <c r="G339" s="458">
        <f t="shared" si="20"/>
        <v>0</v>
      </c>
      <c r="H339" s="457"/>
      <c r="I339" s="461"/>
      <c r="J339" s="459">
        <f t="shared" si="21"/>
        <v>0</v>
      </c>
      <c r="K339" s="460"/>
      <c r="M339">
        <f t="shared" si="19"/>
        <v>0</v>
      </c>
      <c r="N339" s="415"/>
      <c r="O339" s="415"/>
    </row>
    <row r="340" customFormat="1" ht="20" hidden="1" customHeight="1" spans="1:17">
      <c r="A340" s="418">
        <v>2041006</v>
      </c>
      <c r="B340" s="421" t="s">
        <v>207</v>
      </c>
      <c r="C340" s="461">
        <v>0</v>
      </c>
      <c r="D340" s="461"/>
      <c r="E340" s="461">
        <v>0</v>
      </c>
      <c r="F340" s="457"/>
      <c r="G340" s="458">
        <f t="shared" si="20"/>
        <v>0</v>
      </c>
      <c r="H340" s="457"/>
      <c r="I340" s="461"/>
      <c r="J340" s="459">
        <f t="shared" si="21"/>
        <v>0</v>
      </c>
      <c r="K340" s="460"/>
      <c r="M340">
        <f t="shared" si="19"/>
        <v>0</v>
      </c>
      <c r="N340" s="415"/>
      <c r="O340" s="415"/>
    </row>
    <row r="341" customFormat="1" ht="20" hidden="1" customHeight="1" spans="1:17">
      <c r="A341" s="418">
        <v>2041007</v>
      </c>
      <c r="B341" s="421" t="s">
        <v>353</v>
      </c>
      <c r="C341" s="461">
        <v>0</v>
      </c>
      <c r="D341" s="461"/>
      <c r="E341" s="461">
        <v>0</v>
      </c>
      <c r="F341" s="457"/>
      <c r="G341" s="458">
        <f t="shared" si="20"/>
        <v>0</v>
      </c>
      <c r="H341" s="457"/>
      <c r="I341" s="461"/>
      <c r="J341" s="459">
        <f t="shared" si="21"/>
        <v>0</v>
      </c>
      <c r="K341" s="460"/>
      <c r="M341">
        <f t="shared" si="19"/>
        <v>0</v>
      </c>
      <c r="N341" s="415"/>
      <c r="O341" s="415"/>
    </row>
    <row r="342" customFormat="1" ht="20" hidden="1" customHeight="1" spans="1:17">
      <c r="A342" s="418">
        <v>2041099</v>
      </c>
      <c r="B342" s="419" t="s">
        <v>354</v>
      </c>
      <c r="C342" s="461">
        <v>0</v>
      </c>
      <c r="D342" s="461"/>
      <c r="E342" s="461">
        <v>0</v>
      </c>
      <c r="F342" s="457"/>
      <c r="G342" s="458">
        <f t="shared" si="20"/>
        <v>0</v>
      </c>
      <c r="H342" s="457"/>
      <c r="I342" s="461"/>
      <c r="J342" s="459">
        <f t="shared" si="21"/>
        <v>0</v>
      </c>
      <c r="K342" s="460"/>
      <c r="M342">
        <f t="shared" si="19"/>
        <v>0</v>
      </c>
      <c r="N342" s="415"/>
      <c r="O342" s="415"/>
    </row>
    <row r="343" customFormat="1" ht="20" hidden="1" customHeight="1" spans="1:17">
      <c r="A343" s="416">
        <v>20499</v>
      </c>
      <c r="B343" s="426" t="s">
        <v>355</v>
      </c>
      <c r="C343" s="461">
        <v>63.90165</v>
      </c>
      <c r="D343" s="461"/>
      <c r="E343" s="461">
        <v>42</v>
      </c>
      <c r="F343" s="457"/>
      <c r="G343" s="458">
        <f t="shared" si="20"/>
        <v>-21.90165</v>
      </c>
      <c r="H343" s="457">
        <f>G343/C343*100</f>
        <v>-34.2739976197798</v>
      </c>
      <c r="I343" s="461"/>
      <c r="J343" s="459">
        <f t="shared" si="21"/>
        <v>0</v>
      </c>
      <c r="K343" s="460"/>
      <c r="M343">
        <f t="shared" si="19"/>
        <v>0</v>
      </c>
      <c r="N343" s="415"/>
      <c r="O343" s="415"/>
    </row>
    <row r="344" s="278" customFormat="1" ht="20" customHeight="1" spans="1:17">
      <c r="A344" s="412">
        <v>205</v>
      </c>
      <c r="B344" s="413" t="s">
        <v>356</v>
      </c>
      <c r="C344" s="346">
        <f>SUM(C345:C393)/2+C394</f>
        <v>53091.525857</v>
      </c>
      <c r="D344" s="346">
        <f>SUM(D345:D393)/2+D394</f>
        <v>52093.345676</v>
      </c>
      <c r="E344" s="346">
        <f>SUM(E345:E393)/2+E394</f>
        <v>55201</v>
      </c>
      <c r="F344" s="414">
        <f>E344/D344*100</f>
        <v>105.965549502864</v>
      </c>
      <c r="G344" s="346">
        <f t="shared" si="20"/>
        <v>2109.474143</v>
      </c>
      <c r="H344" s="414">
        <f>G344/C344*100</f>
        <v>3.97327842616878</v>
      </c>
      <c r="I344" s="346">
        <f>SUM(I345:I393)/2+I394</f>
        <v>55880.966924</v>
      </c>
      <c r="J344" s="307">
        <f t="shared" si="21"/>
        <v>3787.621248</v>
      </c>
      <c r="K344" s="306">
        <f>J344/D344*100</f>
        <v>7.27083507278935</v>
      </c>
      <c r="M344" s="278">
        <f t="shared" si="19"/>
        <v>0</v>
      </c>
      <c r="N344" s="415"/>
      <c r="O344" s="415"/>
    </row>
    <row r="345" customFormat="1" ht="20" hidden="1" customHeight="1" spans="1:17">
      <c r="A345" s="416">
        <v>20501</v>
      </c>
      <c r="B345" s="426" t="s">
        <v>357</v>
      </c>
      <c r="C345" s="469">
        <f>SUM(C346:C349)</f>
        <v>140.41343</v>
      </c>
      <c r="D345" s="456">
        <f>SUM(D346:D349)</f>
        <v>141</v>
      </c>
      <c r="E345" s="469">
        <f>SUM(E346:E349)</f>
        <v>240</v>
      </c>
      <c r="F345" s="457">
        <f>E345/D345*100</f>
        <v>170.212765957447</v>
      </c>
      <c r="G345" s="458">
        <f t="shared" si="20"/>
        <v>99.58657</v>
      </c>
      <c r="H345" s="457">
        <f>G345/C345*100</f>
        <v>70.9238211757949</v>
      </c>
      <c r="I345" s="456">
        <f>SUM(I346:I349)</f>
        <v>136.747826</v>
      </c>
      <c r="J345" s="459">
        <f t="shared" si="21"/>
        <v>-4.252174</v>
      </c>
      <c r="K345" s="460">
        <f>J345/D345*100</f>
        <v>-3.01572624113475</v>
      </c>
      <c r="M345">
        <f t="shared" si="19"/>
        <v>0</v>
      </c>
      <c r="N345" s="415"/>
      <c r="O345" s="415"/>
    </row>
    <row r="346" customFormat="1" ht="20" hidden="1" customHeight="1" spans="1:17">
      <c r="A346" s="418">
        <v>2050101</v>
      </c>
      <c r="B346" s="419" t="s">
        <v>165</v>
      </c>
      <c r="C346" s="464">
        <v>140.41343</v>
      </c>
      <c r="D346" s="466">
        <v>141</v>
      </c>
      <c r="E346" s="464">
        <v>157</v>
      </c>
      <c r="F346" s="457">
        <f>E346/D346*100</f>
        <v>111.347517730496</v>
      </c>
      <c r="G346" s="458">
        <f t="shared" si="20"/>
        <v>16.58657</v>
      </c>
      <c r="H346" s="457">
        <f>G346/C346*100</f>
        <v>11.8126663524992</v>
      </c>
      <c r="I346" s="462">
        <v>136.747826</v>
      </c>
      <c r="J346" s="459">
        <f t="shared" si="21"/>
        <v>-4.252174</v>
      </c>
      <c r="K346" s="460">
        <f>J346/D346*100</f>
        <v>-3.01572624113475</v>
      </c>
      <c r="M346">
        <f t="shared" si="19"/>
        <v>128</v>
      </c>
      <c r="N346" s="415">
        <v>128</v>
      </c>
      <c r="O346" s="415"/>
    </row>
    <row r="347" customFormat="1" ht="20" hidden="1" customHeight="1" spans="1:17">
      <c r="A347" s="418">
        <v>2050102</v>
      </c>
      <c r="B347" s="419" t="s">
        <v>166</v>
      </c>
      <c r="C347" s="464"/>
      <c r="D347" s="461"/>
      <c r="E347" s="464">
        <v>55</v>
      </c>
      <c r="F347" s="457"/>
      <c r="G347" s="458">
        <f t="shared" si="20"/>
        <v>55</v>
      </c>
      <c r="H347" s="457" t="e">
        <f>G347/C347*100</f>
        <v>#DIV/0!</v>
      </c>
      <c r="I347" s="461"/>
      <c r="J347" s="459">
        <f t="shared" si="21"/>
        <v>0</v>
      </c>
      <c r="K347" s="460"/>
      <c r="M347">
        <f t="shared" si="19"/>
        <v>0</v>
      </c>
      <c r="N347" s="415"/>
      <c r="O347" s="415"/>
    </row>
    <row r="348" customFormat="1" ht="20" hidden="1" customHeight="1" spans="1:17">
      <c r="A348" s="418">
        <v>2050103</v>
      </c>
      <c r="B348" s="419" t="s">
        <v>167</v>
      </c>
      <c r="C348" s="464">
        <v>0</v>
      </c>
      <c r="D348" s="461"/>
      <c r="E348" s="464">
        <v>0</v>
      </c>
      <c r="F348" s="457"/>
      <c r="G348" s="458">
        <f t="shared" si="20"/>
        <v>0</v>
      </c>
      <c r="H348" s="457"/>
      <c r="I348" s="461"/>
      <c r="J348" s="459">
        <f t="shared" si="21"/>
        <v>0</v>
      </c>
      <c r="K348" s="460"/>
      <c r="M348">
        <f t="shared" si="19"/>
        <v>0</v>
      </c>
      <c r="N348" s="415"/>
      <c r="O348" s="415"/>
    </row>
    <row r="349" customFormat="1" ht="20" hidden="1" customHeight="1" spans="1:17">
      <c r="A349" s="418">
        <v>2050199</v>
      </c>
      <c r="B349" s="421" t="s">
        <v>358</v>
      </c>
      <c r="C349" s="464">
        <v>0</v>
      </c>
      <c r="D349" s="461"/>
      <c r="E349" s="464">
        <v>28</v>
      </c>
      <c r="F349" s="457"/>
      <c r="G349" s="458">
        <f t="shared" si="20"/>
        <v>28</v>
      </c>
      <c r="H349" s="457"/>
      <c r="I349" s="461"/>
      <c r="J349" s="459">
        <f t="shared" si="21"/>
        <v>0</v>
      </c>
      <c r="K349" s="460"/>
      <c r="M349">
        <f t="shared" si="19"/>
        <v>0</v>
      </c>
      <c r="N349" s="415"/>
      <c r="O349" s="415"/>
    </row>
    <row r="350" customFormat="1" ht="20" hidden="1" customHeight="1" spans="1:17">
      <c r="A350" s="416">
        <v>20502</v>
      </c>
      <c r="B350" s="417" t="s">
        <v>359</v>
      </c>
      <c r="C350" s="456">
        <f>SUM(C351:C356)</f>
        <v>49892.29868</v>
      </c>
      <c r="D350" s="456">
        <f>SUM(D351:D356)</f>
        <v>47993.750545</v>
      </c>
      <c r="E350" s="456">
        <f>SUM(E351:E356)</f>
        <v>51181</v>
      </c>
      <c r="F350" s="457">
        <f>E350/D350*100</f>
        <v>106.640967665179</v>
      </c>
      <c r="G350" s="458">
        <f t="shared" si="20"/>
        <v>1288.70132</v>
      </c>
      <c r="H350" s="457">
        <f>G350/C350*100</f>
        <v>2.58296641785437</v>
      </c>
      <c r="I350" s="456">
        <f>SUM(I351:I356)</f>
        <v>52180.3017</v>
      </c>
      <c r="J350" s="459">
        <f t="shared" si="21"/>
        <v>4186.551155</v>
      </c>
      <c r="K350" s="460">
        <f>J350/D350*100</f>
        <v>8.72311729643758</v>
      </c>
      <c r="M350">
        <f t="shared" si="19"/>
        <v>0</v>
      </c>
      <c r="N350" s="415"/>
      <c r="O350" s="415"/>
    </row>
    <row r="351" customFormat="1" ht="20" hidden="1" customHeight="1" spans="1:17">
      <c r="A351" s="418">
        <v>2050201</v>
      </c>
      <c r="B351" s="419" t="s">
        <v>360</v>
      </c>
      <c r="C351" s="464">
        <v>2261.57813</v>
      </c>
      <c r="D351" s="461">
        <f>1283.519758+825.17+681.889165</f>
        <v>2790.578923</v>
      </c>
      <c r="E351" s="464">
        <v>4456</v>
      </c>
      <c r="F351" s="457">
        <f>E351/D351*100</f>
        <v>159.680128136623</v>
      </c>
      <c r="G351" s="458">
        <f t="shared" si="20"/>
        <v>2194.42187</v>
      </c>
      <c r="H351" s="457">
        <f>G351/C351*100</f>
        <v>97.0305575956379</v>
      </c>
      <c r="I351" s="461">
        <f>3226.07+0.0017+1108.06</f>
        <v>4334.1317</v>
      </c>
      <c r="J351" s="459">
        <f t="shared" si="21"/>
        <v>1543.552777</v>
      </c>
      <c r="K351" s="460">
        <f>J351/D351*100</f>
        <v>55.3129948871186</v>
      </c>
      <c r="M351">
        <f t="shared" si="19"/>
        <v>1193</v>
      </c>
      <c r="N351" s="415">
        <v>1193</v>
      </c>
      <c r="O351" s="415"/>
      <c r="Q351">
        <v>147</v>
      </c>
    </row>
    <row r="352" customFormat="1" ht="20" hidden="1" customHeight="1" spans="1:17">
      <c r="A352" s="418">
        <v>2050202</v>
      </c>
      <c r="B352" s="419" t="s">
        <v>361</v>
      </c>
      <c r="C352" s="464">
        <v>26732.672474</v>
      </c>
      <c r="D352" s="461">
        <f>17867.980985+490+4195.4353+20.1657+1645.6793+393.8</f>
        <v>24613.061285</v>
      </c>
      <c r="E352" s="464">
        <v>26562</v>
      </c>
      <c r="F352" s="457">
        <f>E352/D352*100</f>
        <v>107.918310901813</v>
      </c>
      <c r="G352" s="458">
        <f t="shared" si="20"/>
        <v>-170.672473999999</v>
      </c>
      <c r="H352" s="457">
        <f>G352/C352*100</f>
        <v>-0.63844149576139</v>
      </c>
      <c r="I352" s="461">
        <f>18394.08+511.21+3269.19</f>
        <v>22174.48</v>
      </c>
      <c r="J352" s="459">
        <f t="shared" si="21"/>
        <v>-2438.581285</v>
      </c>
      <c r="K352" s="460">
        <f>J352/D352*100</f>
        <v>-9.90767160883864</v>
      </c>
      <c r="M352">
        <f t="shared" si="19"/>
        <v>18964</v>
      </c>
      <c r="N352" s="415">
        <v>18964</v>
      </c>
      <c r="O352" s="415"/>
      <c r="Q352">
        <v>1788</v>
      </c>
    </row>
    <row r="353" customFormat="1" ht="20" hidden="1" customHeight="1" spans="1:17">
      <c r="A353" s="418">
        <v>2050203</v>
      </c>
      <c r="B353" s="421" t="s">
        <v>362</v>
      </c>
      <c r="C353" s="464">
        <v>12348.633396</v>
      </c>
      <c r="D353" s="461">
        <f>9855.286359+153+1408.1842+1.0835+995.3714+153</f>
        <v>12565.925459</v>
      </c>
      <c r="E353" s="464">
        <v>14033</v>
      </c>
      <c r="F353" s="457">
        <f>E353/D353*100</f>
        <v>111.67502183414</v>
      </c>
      <c r="G353" s="458">
        <f t="shared" si="20"/>
        <v>1684.366604</v>
      </c>
      <c r="H353" s="457">
        <f>G353/C353*100</f>
        <v>13.6401053459535</v>
      </c>
      <c r="I353" s="461">
        <f>10845.31+63.85+392.99+686.57</f>
        <v>11988.72</v>
      </c>
      <c r="J353" s="459">
        <f t="shared" si="21"/>
        <v>-577.205459000001</v>
      </c>
      <c r="K353" s="460">
        <f>J353/D353*100</f>
        <v>-4.59341781775884</v>
      </c>
      <c r="M353">
        <f t="shared" si="19"/>
        <v>10096</v>
      </c>
      <c r="N353" s="415">
        <v>10096</v>
      </c>
      <c r="O353" s="415"/>
      <c r="Q353">
        <v>681</v>
      </c>
    </row>
    <row r="354" customFormat="1" ht="20" hidden="1" customHeight="1" spans="1:17">
      <c r="A354" s="418">
        <v>2050204</v>
      </c>
      <c r="B354" s="421" t="s">
        <v>363</v>
      </c>
      <c r="C354" s="464">
        <v>6148.934971</v>
      </c>
      <c r="D354" s="461">
        <f>4586.487978+754+493.8256</f>
        <v>5834.313578</v>
      </c>
      <c r="E354" s="464">
        <v>5871</v>
      </c>
      <c r="F354" s="457">
        <f>E354/D354*100</f>
        <v>100.628804425911</v>
      </c>
      <c r="G354" s="458">
        <f t="shared" si="20"/>
        <v>-277.934971</v>
      </c>
      <c r="H354" s="457">
        <f>G354/C354*100</f>
        <v>-4.52005058291906</v>
      </c>
      <c r="I354" s="461">
        <f>5187.58+1813.01+81.64+444+32</f>
        <v>7558.23</v>
      </c>
      <c r="J354" s="459">
        <f t="shared" si="21"/>
        <v>1723.916422</v>
      </c>
      <c r="K354" s="460">
        <f>J354/D354*100</f>
        <v>29.547887664121</v>
      </c>
      <c r="M354">
        <f t="shared" si="19"/>
        <v>5041</v>
      </c>
      <c r="N354" s="415">
        <v>5041</v>
      </c>
      <c r="O354" s="415"/>
      <c r="Q354">
        <v>117</v>
      </c>
    </row>
    <row r="355" customFormat="1" ht="20" hidden="1" customHeight="1" spans="1:17">
      <c r="A355" s="418">
        <v>2050205</v>
      </c>
      <c r="B355" s="421" t="s">
        <v>364</v>
      </c>
      <c r="C355" s="464">
        <v>0</v>
      </c>
      <c r="D355" s="461"/>
      <c r="E355" s="464">
        <v>49</v>
      </c>
      <c r="F355" s="457"/>
      <c r="G355" s="458">
        <f t="shared" si="20"/>
        <v>49</v>
      </c>
      <c r="H355" s="457"/>
      <c r="I355" s="461"/>
      <c r="J355" s="459">
        <f t="shared" si="21"/>
        <v>0</v>
      </c>
      <c r="K355" s="460"/>
      <c r="M355">
        <f t="shared" si="19"/>
        <v>0</v>
      </c>
      <c r="N355" s="415"/>
      <c r="O355" s="415"/>
    </row>
    <row r="356" customFormat="1" ht="20" hidden="1" customHeight="1" spans="1:17">
      <c r="A356" s="418">
        <v>2050299</v>
      </c>
      <c r="B356" s="419" t="s">
        <v>365</v>
      </c>
      <c r="C356" s="464">
        <v>2400.479709</v>
      </c>
      <c r="D356" s="461">
        <f>936.1+10+936+126.69+22.05+32.2913+126.69+0.05</f>
        <v>2189.8713</v>
      </c>
      <c r="E356" s="464">
        <v>210</v>
      </c>
      <c r="F356" s="457">
        <f>E356/D356*100</f>
        <v>9.58960464936912</v>
      </c>
      <c r="G356" s="458">
        <f t="shared" si="20"/>
        <v>-2190.479709</v>
      </c>
      <c r="H356" s="457">
        <f>G356/C356*100</f>
        <v>-91.2517485895566</v>
      </c>
      <c r="I356" s="461">
        <f>936.26+13+100+3152.33+1911+12.15</f>
        <v>6124.74</v>
      </c>
      <c r="J356" s="459">
        <f t="shared" si="21"/>
        <v>3934.8687</v>
      </c>
      <c r="K356" s="460">
        <f>J356/D356*100</f>
        <v>179.684929429414</v>
      </c>
      <c r="M356">
        <f t="shared" si="19"/>
        <v>1019</v>
      </c>
      <c r="N356" s="415">
        <v>1019</v>
      </c>
      <c r="O356" s="415"/>
      <c r="P356">
        <v>9406</v>
      </c>
      <c r="Q356">
        <v>2589</v>
      </c>
    </row>
    <row r="357" customFormat="1" ht="20" hidden="1" customHeight="1" spans="1:17">
      <c r="A357" s="416">
        <v>20503</v>
      </c>
      <c r="B357" s="417" t="s">
        <v>366</v>
      </c>
      <c r="C357" s="470">
        <f>SUM(C358:C362)</f>
        <v>1726.101542</v>
      </c>
      <c r="D357" s="470">
        <f>SUM(D358:D362)</f>
        <v>2045.081024</v>
      </c>
      <c r="E357" s="470">
        <f>SUM(E358:E362)</f>
        <v>2252</v>
      </c>
      <c r="F357" s="457">
        <f>E357/D357*100</f>
        <v>110.117886458859</v>
      </c>
      <c r="G357" s="458">
        <f t="shared" si="20"/>
        <v>525.898458</v>
      </c>
      <c r="H357" s="457">
        <f>G357/C357*100</f>
        <v>30.4674114009916</v>
      </c>
      <c r="I357" s="470">
        <f>SUM(I358:I362)</f>
        <v>1920.84</v>
      </c>
      <c r="J357" s="459">
        <f t="shared" si="21"/>
        <v>-124.241024</v>
      </c>
      <c r="K357" s="460">
        <f>J357/D357*100</f>
        <v>-6.07511499749753</v>
      </c>
      <c r="M357">
        <f t="shared" si="19"/>
        <v>0</v>
      </c>
      <c r="N357" s="415"/>
      <c r="O357" s="415"/>
    </row>
    <row r="358" customFormat="1" ht="20" hidden="1" customHeight="1" spans="1:17">
      <c r="A358" s="418">
        <v>2050301</v>
      </c>
      <c r="B358" s="419" t="s">
        <v>367</v>
      </c>
      <c r="C358" s="464">
        <v>0</v>
      </c>
      <c r="D358" s="461"/>
      <c r="E358" s="464">
        <v>0</v>
      </c>
      <c r="F358" s="457"/>
      <c r="G358" s="458">
        <f t="shared" si="20"/>
        <v>0</v>
      </c>
      <c r="H358" s="457"/>
      <c r="I358" s="461"/>
      <c r="J358" s="459">
        <f t="shared" si="21"/>
        <v>0</v>
      </c>
      <c r="K358" s="460"/>
      <c r="M358">
        <f t="shared" si="19"/>
        <v>0</v>
      </c>
      <c r="N358" s="415"/>
      <c r="O358" s="415"/>
    </row>
    <row r="359" customFormat="1" ht="20" hidden="1" customHeight="1" spans="1:17">
      <c r="A359" s="418">
        <v>2050302</v>
      </c>
      <c r="B359" s="419" t="s">
        <v>368</v>
      </c>
      <c r="C359" s="464">
        <v>1726.101542</v>
      </c>
      <c r="D359" s="461">
        <f>1375.040102+363+307.040922</f>
        <v>2045.081024</v>
      </c>
      <c r="E359" s="464">
        <v>2217</v>
      </c>
      <c r="F359" s="457">
        <f>E359/D359*100</f>
        <v>108.406462823842</v>
      </c>
      <c r="G359" s="458">
        <f t="shared" si="20"/>
        <v>490.898458</v>
      </c>
      <c r="H359" s="457">
        <f>G359/C359*100</f>
        <v>28.4397207264646</v>
      </c>
      <c r="I359" s="461">
        <f>1466.2+72.64+220+162</f>
        <v>1920.84</v>
      </c>
      <c r="J359" s="459">
        <f t="shared" si="21"/>
        <v>-124.241024</v>
      </c>
      <c r="K359" s="460">
        <f>J359/D359*100</f>
        <v>-6.07511499749753</v>
      </c>
      <c r="M359">
        <f t="shared" si="19"/>
        <v>1288</v>
      </c>
      <c r="N359" s="415">
        <v>1288</v>
      </c>
      <c r="O359" s="415"/>
      <c r="Q359">
        <v>44</v>
      </c>
    </row>
    <row r="360" customFormat="1" ht="20" hidden="1" customHeight="1" spans="1:17">
      <c r="A360" s="418">
        <v>2050303</v>
      </c>
      <c r="B360" s="419" t="s">
        <v>369</v>
      </c>
      <c r="C360" s="464">
        <v>0</v>
      </c>
      <c r="D360" s="461"/>
      <c r="E360" s="464">
        <v>0</v>
      </c>
      <c r="F360" s="457"/>
      <c r="G360" s="458">
        <f t="shared" si="20"/>
        <v>0</v>
      </c>
      <c r="H360" s="457"/>
      <c r="I360" s="461"/>
      <c r="J360" s="459">
        <f t="shared" si="21"/>
        <v>0</v>
      </c>
      <c r="K360" s="460"/>
      <c r="M360">
        <f t="shared" si="19"/>
        <v>0</v>
      </c>
      <c r="N360" s="415"/>
      <c r="O360" s="415"/>
    </row>
    <row r="361" customFormat="1" ht="20" hidden="1" customHeight="1" spans="1:17">
      <c r="A361" s="418">
        <v>2050305</v>
      </c>
      <c r="B361" s="421" t="s">
        <v>370</v>
      </c>
      <c r="C361" s="464">
        <v>0</v>
      </c>
      <c r="D361" s="461"/>
      <c r="E361" s="464">
        <v>35</v>
      </c>
      <c r="F361" s="457"/>
      <c r="G361" s="458">
        <f t="shared" si="20"/>
        <v>35</v>
      </c>
      <c r="H361" s="457"/>
      <c r="I361" s="461"/>
      <c r="J361" s="459">
        <f t="shared" si="21"/>
        <v>0</v>
      </c>
      <c r="K361" s="460"/>
      <c r="M361">
        <f t="shared" si="19"/>
        <v>0</v>
      </c>
      <c r="N361" s="415"/>
      <c r="O361" s="415"/>
    </row>
    <row r="362" customFormat="1" ht="20" hidden="1" customHeight="1" spans="1:17">
      <c r="A362" s="418">
        <v>2050399</v>
      </c>
      <c r="B362" s="421" t="s">
        <v>371</v>
      </c>
      <c r="C362" s="464">
        <v>0</v>
      </c>
      <c r="D362" s="461"/>
      <c r="E362" s="464">
        <v>0</v>
      </c>
      <c r="F362" s="457"/>
      <c r="G362" s="458">
        <f t="shared" si="20"/>
        <v>0</v>
      </c>
      <c r="H362" s="457"/>
      <c r="I362" s="461"/>
      <c r="J362" s="459">
        <f t="shared" si="21"/>
        <v>0</v>
      </c>
      <c r="K362" s="460"/>
      <c r="M362">
        <f t="shared" si="19"/>
        <v>0</v>
      </c>
      <c r="N362" s="415"/>
      <c r="O362" s="415"/>
    </row>
    <row r="363" customFormat="1" ht="20" hidden="1" customHeight="1" spans="1:17">
      <c r="A363" s="416">
        <v>20504</v>
      </c>
      <c r="B363" s="427" t="s">
        <v>372</v>
      </c>
      <c r="C363" s="456">
        <v>0</v>
      </c>
      <c r="D363" s="456"/>
      <c r="E363" s="456">
        <v>0</v>
      </c>
      <c r="F363" s="457"/>
      <c r="G363" s="458">
        <f t="shared" si="20"/>
        <v>0</v>
      </c>
      <c r="H363" s="457"/>
      <c r="I363" s="456"/>
      <c r="J363" s="459">
        <f t="shared" si="21"/>
        <v>0</v>
      </c>
      <c r="K363" s="460"/>
      <c r="M363">
        <f t="shared" si="19"/>
        <v>0</v>
      </c>
      <c r="N363" s="415"/>
      <c r="O363" s="415"/>
    </row>
    <row r="364" customFormat="1" ht="20" hidden="1" customHeight="1" spans="1:17">
      <c r="A364" s="418">
        <v>2050401</v>
      </c>
      <c r="B364" s="419" t="s">
        <v>373</v>
      </c>
      <c r="C364" s="461">
        <v>0</v>
      </c>
      <c r="D364" s="461"/>
      <c r="E364" s="461">
        <v>0</v>
      </c>
      <c r="F364" s="457"/>
      <c r="G364" s="458">
        <f t="shared" si="20"/>
        <v>0</v>
      </c>
      <c r="H364" s="457"/>
      <c r="I364" s="461"/>
      <c r="J364" s="459">
        <f t="shared" si="21"/>
        <v>0</v>
      </c>
      <c r="K364" s="460"/>
      <c r="M364">
        <f t="shared" si="19"/>
        <v>0</v>
      </c>
      <c r="N364" s="415"/>
      <c r="O364" s="415"/>
    </row>
    <row r="365" customFormat="1" ht="20" hidden="1" customHeight="1" spans="1:17">
      <c r="A365" s="418">
        <v>2050402</v>
      </c>
      <c r="B365" s="419" t="s">
        <v>374</v>
      </c>
      <c r="C365" s="461">
        <v>0</v>
      </c>
      <c r="D365" s="461"/>
      <c r="E365" s="461">
        <v>0</v>
      </c>
      <c r="F365" s="457"/>
      <c r="G365" s="458">
        <f t="shared" si="20"/>
        <v>0</v>
      </c>
      <c r="H365" s="457"/>
      <c r="I365" s="461"/>
      <c r="J365" s="459">
        <f t="shared" si="21"/>
        <v>0</v>
      </c>
      <c r="K365" s="460"/>
      <c r="M365">
        <f t="shared" ref="M365:M428" si="22">N365+O365</f>
        <v>0</v>
      </c>
      <c r="N365" s="415"/>
      <c r="O365" s="415"/>
    </row>
    <row r="366" customFormat="1" ht="20" hidden="1" customHeight="1" spans="1:17">
      <c r="A366" s="418">
        <v>2050403</v>
      </c>
      <c r="B366" s="419" t="s">
        <v>375</v>
      </c>
      <c r="C366" s="461">
        <v>0</v>
      </c>
      <c r="D366" s="461"/>
      <c r="E366" s="461">
        <v>0</v>
      </c>
      <c r="F366" s="457"/>
      <c r="G366" s="458">
        <f t="shared" si="20"/>
        <v>0</v>
      </c>
      <c r="H366" s="457"/>
      <c r="I366" s="461"/>
      <c r="J366" s="459">
        <f t="shared" si="21"/>
        <v>0</v>
      </c>
      <c r="K366" s="460"/>
      <c r="M366">
        <f t="shared" si="22"/>
        <v>0</v>
      </c>
      <c r="N366" s="415"/>
      <c r="O366" s="415"/>
    </row>
    <row r="367" customFormat="1" ht="20" hidden="1" customHeight="1" spans="1:17">
      <c r="A367" s="418">
        <v>2050404</v>
      </c>
      <c r="B367" s="421" t="s">
        <v>376</v>
      </c>
      <c r="C367" s="461">
        <v>0</v>
      </c>
      <c r="D367" s="461"/>
      <c r="E367" s="461">
        <v>0</v>
      </c>
      <c r="F367" s="457"/>
      <c r="G367" s="458">
        <f t="shared" si="20"/>
        <v>0</v>
      </c>
      <c r="H367" s="457"/>
      <c r="I367" s="461"/>
      <c r="J367" s="459">
        <f t="shared" si="21"/>
        <v>0</v>
      </c>
      <c r="K367" s="460"/>
      <c r="M367">
        <f t="shared" si="22"/>
        <v>0</v>
      </c>
      <c r="N367" s="415"/>
      <c r="O367" s="415"/>
    </row>
    <row r="368" customFormat="1" ht="20" hidden="1" customHeight="1" spans="1:17">
      <c r="A368" s="418">
        <v>2050499</v>
      </c>
      <c r="B368" s="421" t="s">
        <v>377</v>
      </c>
      <c r="C368" s="461">
        <v>0</v>
      </c>
      <c r="D368" s="461"/>
      <c r="E368" s="461">
        <v>0</v>
      </c>
      <c r="F368" s="457"/>
      <c r="G368" s="458">
        <f t="shared" si="20"/>
        <v>0</v>
      </c>
      <c r="H368" s="457"/>
      <c r="I368" s="461"/>
      <c r="J368" s="459">
        <f t="shared" si="21"/>
        <v>0</v>
      </c>
      <c r="K368" s="460"/>
      <c r="M368">
        <f t="shared" si="22"/>
        <v>0</v>
      </c>
      <c r="N368" s="415"/>
      <c r="O368" s="415"/>
    </row>
    <row r="369" customFormat="1" ht="20" hidden="1" customHeight="1" spans="1:17">
      <c r="A369" s="416">
        <v>20505</v>
      </c>
      <c r="B369" s="426" t="s">
        <v>378</v>
      </c>
      <c r="C369" s="456">
        <v>0</v>
      </c>
      <c r="D369" s="456"/>
      <c r="E369" s="456">
        <v>0</v>
      </c>
      <c r="F369" s="457"/>
      <c r="G369" s="458">
        <f t="shared" si="20"/>
        <v>0</v>
      </c>
      <c r="H369" s="457"/>
      <c r="I369" s="456"/>
      <c r="J369" s="459">
        <f t="shared" si="21"/>
        <v>0</v>
      </c>
      <c r="K369" s="460"/>
      <c r="M369">
        <f t="shared" si="22"/>
        <v>0</v>
      </c>
      <c r="N369" s="415"/>
      <c r="O369" s="415"/>
    </row>
    <row r="370" customFormat="1" ht="20" hidden="1" customHeight="1" spans="1:17">
      <c r="A370" s="418">
        <v>2050501</v>
      </c>
      <c r="B370" s="419" t="s">
        <v>379</v>
      </c>
      <c r="C370" s="461">
        <v>0</v>
      </c>
      <c r="D370" s="461"/>
      <c r="E370" s="461">
        <v>0</v>
      </c>
      <c r="F370" s="457"/>
      <c r="G370" s="458">
        <f t="shared" si="20"/>
        <v>0</v>
      </c>
      <c r="H370" s="457"/>
      <c r="I370" s="461"/>
      <c r="J370" s="459">
        <f t="shared" si="21"/>
        <v>0</v>
      </c>
      <c r="K370" s="460"/>
      <c r="M370">
        <f t="shared" si="22"/>
        <v>0</v>
      </c>
      <c r="N370" s="415"/>
      <c r="O370" s="415"/>
    </row>
    <row r="371" customFormat="1" ht="20" hidden="1" customHeight="1" spans="1:17">
      <c r="A371" s="418">
        <v>2050502</v>
      </c>
      <c r="B371" s="419" t="s">
        <v>380</v>
      </c>
      <c r="C371" s="461">
        <v>0</v>
      </c>
      <c r="D371" s="461"/>
      <c r="E371" s="461">
        <v>0</v>
      </c>
      <c r="F371" s="457"/>
      <c r="G371" s="458">
        <f t="shared" si="20"/>
        <v>0</v>
      </c>
      <c r="H371" s="457"/>
      <c r="I371" s="461"/>
      <c r="J371" s="459">
        <f t="shared" si="21"/>
        <v>0</v>
      </c>
      <c r="K371" s="460"/>
      <c r="M371">
        <f t="shared" si="22"/>
        <v>0</v>
      </c>
      <c r="N371" s="415"/>
      <c r="O371" s="415"/>
    </row>
    <row r="372" customFormat="1" ht="20" hidden="1" customHeight="1" spans="1:17">
      <c r="A372" s="418">
        <v>2050599</v>
      </c>
      <c r="B372" s="419" t="s">
        <v>381</v>
      </c>
      <c r="C372" s="461">
        <v>0</v>
      </c>
      <c r="D372" s="461"/>
      <c r="E372" s="461">
        <v>0</v>
      </c>
      <c r="F372" s="457"/>
      <c r="G372" s="458">
        <f t="shared" si="20"/>
        <v>0</v>
      </c>
      <c r="H372" s="457"/>
      <c r="I372" s="461"/>
      <c r="J372" s="459">
        <f t="shared" si="21"/>
        <v>0</v>
      </c>
      <c r="K372" s="460"/>
      <c r="M372">
        <f t="shared" si="22"/>
        <v>0</v>
      </c>
      <c r="N372" s="415"/>
      <c r="O372" s="415"/>
    </row>
    <row r="373" customFormat="1" ht="20" hidden="1" customHeight="1" spans="1:17">
      <c r="A373" s="416">
        <v>20506</v>
      </c>
      <c r="B373" s="426" t="s">
        <v>382</v>
      </c>
      <c r="C373" s="456">
        <v>0</v>
      </c>
      <c r="D373" s="456"/>
      <c r="E373" s="456">
        <v>0</v>
      </c>
      <c r="F373" s="457"/>
      <c r="G373" s="458">
        <f t="shared" si="20"/>
        <v>0</v>
      </c>
      <c r="H373" s="457"/>
      <c r="I373" s="456"/>
      <c r="J373" s="459">
        <f t="shared" si="21"/>
        <v>0</v>
      </c>
      <c r="K373" s="460"/>
      <c r="M373">
        <f t="shared" si="22"/>
        <v>0</v>
      </c>
      <c r="N373" s="415"/>
      <c r="O373" s="415"/>
    </row>
    <row r="374" customFormat="1" ht="20" hidden="1" customHeight="1" spans="1:17">
      <c r="A374" s="418">
        <v>2050601</v>
      </c>
      <c r="B374" s="421" t="s">
        <v>383</v>
      </c>
      <c r="C374" s="461">
        <v>0</v>
      </c>
      <c r="D374" s="461"/>
      <c r="E374" s="461">
        <v>0</v>
      </c>
      <c r="F374" s="457"/>
      <c r="G374" s="458">
        <f t="shared" si="20"/>
        <v>0</v>
      </c>
      <c r="H374" s="457"/>
      <c r="I374" s="461"/>
      <c r="J374" s="459">
        <f t="shared" si="21"/>
        <v>0</v>
      </c>
      <c r="K374" s="460"/>
      <c r="M374">
        <f t="shared" si="22"/>
        <v>0</v>
      </c>
      <c r="N374" s="415"/>
      <c r="O374" s="415"/>
    </row>
    <row r="375" customFormat="1" ht="20" hidden="1" customHeight="1" spans="1:17">
      <c r="A375" s="418">
        <v>2050602</v>
      </c>
      <c r="B375" s="421" t="s">
        <v>384</v>
      </c>
      <c r="C375" s="461">
        <v>0</v>
      </c>
      <c r="D375" s="461"/>
      <c r="E375" s="461">
        <v>0</v>
      </c>
      <c r="F375" s="457"/>
      <c r="G375" s="458">
        <f t="shared" si="20"/>
        <v>0</v>
      </c>
      <c r="H375" s="457"/>
      <c r="I375" s="461"/>
      <c r="J375" s="459">
        <f t="shared" si="21"/>
        <v>0</v>
      </c>
      <c r="K375" s="460"/>
      <c r="M375">
        <f t="shared" si="22"/>
        <v>0</v>
      </c>
      <c r="N375" s="415"/>
      <c r="O375" s="415"/>
    </row>
    <row r="376" customFormat="1" ht="20" hidden="1" customHeight="1" spans="1:17">
      <c r="A376" s="418">
        <v>2050699</v>
      </c>
      <c r="B376" s="422" t="s">
        <v>385</v>
      </c>
      <c r="C376" s="461">
        <v>0</v>
      </c>
      <c r="D376" s="461"/>
      <c r="E376" s="461">
        <v>0</v>
      </c>
      <c r="F376" s="457"/>
      <c r="G376" s="458">
        <f t="shared" si="20"/>
        <v>0</v>
      </c>
      <c r="H376" s="457"/>
      <c r="I376" s="461"/>
      <c r="J376" s="459">
        <f t="shared" si="21"/>
        <v>0</v>
      </c>
      <c r="K376" s="460"/>
      <c r="M376">
        <f t="shared" si="22"/>
        <v>0</v>
      </c>
      <c r="N376" s="415"/>
      <c r="O376" s="415"/>
    </row>
    <row r="377" customFormat="1" ht="20" hidden="1" customHeight="1" spans="1:17">
      <c r="A377" s="416">
        <v>20507</v>
      </c>
      <c r="B377" s="417" t="s">
        <v>386</v>
      </c>
      <c r="C377" s="470">
        <f>SUM(C378:C380)</f>
        <v>411.609703</v>
      </c>
      <c r="D377" s="470">
        <f>SUM(D378:D380)</f>
        <v>476.134573</v>
      </c>
      <c r="E377" s="470">
        <f>SUM(E378:E380)</f>
        <v>562</v>
      </c>
      <c r="F377" s="457">
        <f>E377/D377*100</f>
        <v>118.033856785275</v>
      </c>
      <c r="G377" s="458">
        <f t="shared" si="20"/>
        <v>150.390297</v>
      </c>
      <c r="H377" s="457">
        <f>G377/C377*100</f>
        <v>36.5371117113826</v>
      </c>
      <c r="I377" s="470">
        <f>SUM(I378:I380)</f>
        <v>636</v>
      </c>
      <c r="J377" s="459">
        <f t="shared" si="21"/>
        <v>159.865427</v>
      </c>
      <c r="K377" s="460">
        <f>J377/D377*100</f>
        <v>33.5756813441901</v>
      </c>
      <c r="M377">
        <f t="shared" si="22"/>
        <v>0</v>
      </c>
      <c r="N377" s="415"/>
      <c r="O377" s="415"/>
    </row>
    <row r="378" customFormat="1" ht="20" hidden="1" customHeight="1" spans="1:17">
      <c r="A378" s="418">
        <v>2050701</v>
      </c>
      <c r="B378" s="419" t="s">
        <v>387</v>
      </c>
      <c r="C378" s="461">
        <v>411.609703</v>
      </c>
      <c r="D378" s="466">
        <f>330.864513+20+70.607+54.66306</f>
        <v>476.134573</v>
      </c>
      <c r="E378" s="461">
        <v>557</v>
      </c>
      <c r="F378" s="457">
        <f>E378/D378*100</f>
        <v>116.983733504267</v>
      </c>
      <c r="G378" s="458">
        <f t="shared" si="20"/>
        <v>145.390297</v>
      </c>
      <c r="H378" s="457">
        <f>G378/C378*100</f>
        <v>35.3223687246265</v>
      </c>
      <c r="I378" s="466">
        <f>384.52+87.74+136.08</f>
        <v>608.34</v>
      </c>
      <c r="J378" s="459">
        <f t="shared" si="21"/>
        <v>132.205427</v>
      </c>
      <c r="K378" s="460">
        <f>J378/D378*100</f>
        <v>27.766399353655</v>
      </c>
      <c r="M378">
        <f t="shared" si="22"/>
        <v>336</v>
      </c>
      <c r="N378" s="415">
        <v>336</v>
      </c>
      <c r="O378" s="415"/>
      <c r="Q378">
        <v>64</v>
      </c>
    </row>
    <row r="379" customFormat="1" ht="20" hidden="1" customHeight="1" spans="1:17">
      <c r="A379" s="418">
        <v>2050702</v>
      </c>
      <c r="B379" s="419" t="s">
        <v>388</v>
      </c>
      <c r="C379" s="461">
        <v>0</v>
      </c>
      <c r="D379" s="461"/>
      <c r="E379" s="461">
        <v>5</v>
      </c>
      <c r="F379" s="457"/>
      <c r="G379" s="458">
        <f t="shared" si="20"/>
        <v>5</v>
      </c>
      <c r="H379" s="457"/>
      <c r="I379" s="462">
        <f>3.36+8.55+15.75</f>
        <v>27.66</v>
      </c>
      <c r="J379" s="459">
        <f t="shared" si="21"/>
        <v>27.66</v>
      </c>
      <c r="K379" s="460"/>
      <c r="M379">
        <f t="shared" si="22"/>
        <v>0</v>
      </c>
      <c r="N379" s="415"/>
      <c r="O379" s="415"/>
    </row>
    <row r="380" customFormat="1" ht="20" hidden="1" customHeight="1" spans="1:17">
      <c r="A380" s="418">
        <v>2050799</v>
      </c>
      <c r="B380" s="421" t="s">
        <v>389</v>
      </c>
      <c r="C380" s="461">
        <v>0</v>
      </c>
      <c r="D380" s="461"/>
      <c r="E380" s="461">
        <v>0</v>
      </c>
      <c r="F380" s="457"/>
      <c r="G380" s="458">
        <f t="shared" si="20"/>
        <v>0</v>
      </c>
      <c r="H380" s="457"/>
      <c r="I380" s="461"/>
      <c r="J380" s="459">
        <f t="shared" si="21"/>
        <v>0</v>
      </c>
      <c r="K380" s="460"/>
      <c r="M380">
        <f t="shared" si="22"/>
        <v>0</v>
      </c>
      <c r="N380" s="415"/>
      <c r="O380" s="415"/>
    </row>
    <row r="381" customFormat="1" ht="20" hidden="1" customHeight="1" spans="1:17">
      <c r="A381" s="416">
        <v>20508</v>
      </c>
      <c r="B381" s="426" t="s">
        <v>390</v>
      </c>
      <c r="C381" s="456">
        <f>SUM(C382:C386)</f>
        <v>328.281472</v>
      </c>
      <c r="D381" s="456">
        <f>SUM(D382:D386)</f>
        <v>208.375507</v>
      </c>
      <c r="E381" s="456">
        <f>SUM(E382:E386)</f>
        <v>200</v>
      </c>
      <c r="F381" s="457">
        <f>E381/D381*100</f>
        <v>95.9805703076226</v>
      </c>
      <c r="G381" s="458">
        <f t="shared" si="20"/>
        <v>-128.281472</v>
      </c>
      <c r="H381" s="457">
        <f>G381/C381*100</f>
        <v>-39.0766713754714</v>
      </c>
      <c r="I381" s="456">
        <f>SUM(I382:I386)</f>
        <v>178.697398</v>
      </c>
      <c r="J381" s="459">
        <f t="shared" si="21"/>
        <v>-29.678109</v>
      </c>
      <c r="K381" s="460">
        <f>J381/D381*100</f>
        <v>-14.2426091373589</v>
      </c>
      <c r="M381">
        <f t="shared" si="22"/>
        <v>0</v>
      </c>
      <c r="N381" s="415"/>
      <c r="O381" s="415"/>
    </row>
    <row r="382" customFormat="1" ht="20" hidden="1" customHeight="1" spans="1:17">
      <c r="A382" s="418">
        <v>2050801</v>
      </c>
      <c r="B382" s="421" t="s">
        <v>391</v>
      </c>
      <c r="C382" s="461">
        <v>92.910319</v>
      </c>
      <c r="D382" s="461"/>
      <c r="E382" s="461"/>
      <c r="F382" s="457"/>
      <c r="G382" s="458">
        <f t="shared" si="20"/>
        <v>-92.910319</v>
      </c>
      <c r="H382" s="457">
        <f>G382/C382*100</f>
        <v>-100</v>
      </c>
      <c r="I382" s="461"/>
      <c r="J382" s="459">
        <f t="shared" si="21"/>
        <v>0</v>
      </c>
      <c r="K382" s="460"/>
      <c r="M382">
        <f t="shared" si="22"/>
        <v>110</v>
      </c>
      <c r="N382" s="415">
        <v>110</v>
      </c>
      <c r="O382" s="415"/>
    </row>
    <row r="383" customFormat="1" ht="20" hidden="1" customHeight="1" spans="1:17">
      <c r="A383" s="418">
        <v>2050802</v>
      </c>
      <c r="B383" s="419" t="s">
        <v>392</v>
      </c>
      <c r="C383" s="461">
        <v>235.371153</v>
      </c>
      <c r="D383" s="466">
        <v>208.375507</v>
      </c>
      <c r="E383" s="461">
        <v>200</v>
      </c>
      <c r="F383" s="457">
        <f>E383/D383*100</f>
        <v>95.9805703076226</v>
      </c>
      <c r="G383" s="458">
        <f t="shared" si="20"/>
        <v>-35.371153</v>
      </c>
      <c r="H383" s="457">
        <f>G383/C383*100</f>
        <v>-15.0278199130035</v>
      </c>
      <c r="I383" s="462">
        <v>178.697398</v>
      </c>
      <c r="J383" s="459">
        <f t="shared" si="21"/>
        <v>-29.678109</v>
      </c>
      <c r="K383" s="460">
        <f>J383/D383*100</f>
        <v>-14.2426091373589</v>
      </c>
      <c r="M383">
        <f t="shared" si="22"/>
        <v>222</v>
      </c>
      <c r="N383" s="415">
        <v>222</v>
      </c>
      <c r="O383" s="415"/>
    </row>
    <row r="384" customFormat="1" ht="20" hidden="1" customHeight="1" spans="1:17">
      <c r="A384" s="418">
        <v>2050803</v>
      </c>
      <c r="B384" s="419" t="s">
        <v>393</v>
      </c>
      <c r="C384" s="461">
        <v>0</v>
      </c>
      <c r="D384" s="461"/>
      <c r="E384" s="461">
        <v>0</v>
      </c>
      <c r="F384" s="457"/>
      <c r="G384" s="458">
        <f t="shared" si="20"/>
        <v>0</v>
      </c>
      <c r="H384" s="457"/>
      <c r="I384" s="461"/>
      <c r="J384" s="459">
        <f t="shared" si="21"/>
        <v>0</v>
      </c>
      <c r="K384" s="460"/>
      <c r="M384">
        <f t="shared" si="22"/>
        <v>0</v>
      </c>
      <c r="N384" s="415"/>
      <c r="O384" s="415"/>
    </row>
    <row r="385" customFormat="1" ht="20" hidden="1" customHeight="1" spans="1:15">
      <c r="A385" s="418">
        <v>2050804</v>
      </c>
      <c r="B385" s="419" t="s">
        <v>394</v>
      </c>
      <c r="C385" s="461">
        <v>0</v>
      </c>
      <c r="D385" s="461"/>
      <c r="E385" s="461">
        <v>0</v>
      </c>
      <c r="F385" s="457"/>
      <c r="G385" s="458">
        <f t="shared" si="20"/>
        <v>0</v>
      </c>
      <c r="H385" s="457"/>
      <c r="I385" s="461"/>
      <c r="J385" s="459">
        <f t="shared" si="21"/>
        <v>0</v>
      </c>
      <c r="K385" s="460"/>
      <c r="M385">
        <f t="shared" si="22"/>
        <v>0</v>
      </c>
      <c r="N385" s="415"/>
      <c r="O385" s="415"/>
    </row>
    <row r="386" customFormat="1" ht="20" hidden="1" customHeight="1" spans="1:15">
      <c r="A386" s="418">
        <v>2050899</v>
      </c>
      <c r="B386" s="419" t="s">
        <v>395</v>
      </c>
      <c r="C386" s="461">
        <v>0</v>
      </c>
      <c r="D386" s="461"/>
      <c r="E386" s="461">
        <v>0</v>
      </c>
      <c r="F386" s="457"/>
      <c r="G386" s="458">
        <f t="shared" si="20"/>
        <v>0</v>
      </c>
      <c r="H386" s="457"/>
      <c r="I386" s="461"/>
      <c r="J386" s="459">
        <f t="shared" si="21"/>
        <v>0</v>
      </c>
      <c r="K386" s="460"/>
      <c r="M386">
        <f t="shared" si="22"/>
        <v>0</v>
      </c>
      <c r="N386" s="415"/>
      <c r="O386" s="415"/>
    </row>
    <row r="387" customFormat="1" ht="20" hidden="1" customHeight="1" spans="1:15">
      <c r="A387" s="416">
        <v>20509</v>
      </c>
      <c r="B387" s="417" t="s">
        <v>396</v>
      </c>
      <c r="C387" s="470">
        <f>SUM(C388:C393)</f>
        <v>150.68374</v>
      </c>
      <c r="D387" s="470">
        <f>SUM(D388:D393)</f>
        <v>795.4</v>
      </c>
      <c r="E387" s="470">
        <f>SUM(E388:E393)</f>
        <v>141</v>
      </c>
      <c r="F387" s="457">
        <f>E387/D387*100</f>
        <v>17.7269298466181</v>
      </c>
      <c r="G387" s="458">
        <f t="shared" si="20"/>
        <v>-9.68374</v>
      </c>
      <c r="H387" s="457">
        <f>G387/C387*100</f>
        <v>-6.42653281634767</v>
      </c>
      <c r="I387" s="470">
        <f>SUM(I388:I393)</f>
        <v>351</v>
      </c>
      <c r="J387" s="459">
        <f t="shared" si="21"/>
        <v>-444.4</v>
      </c>
      <c r="K387" s="460">
        <f>J387/D387*100</f>
        <v>-55.8712597435253</v>
      </c>
      <c r="M387">
        <f t="shared" si="22"/>
        <v>0</v>
      </c>
      <c r="N387" s="415"/>
      <c r="O387" s="415"/>
    </row>
    <row r="388" customFormat="1" ht="20" hidden="1" customHeight="1" spans="1:15">
      <c r="A388" s="418">
        <v>2050901</v>
      </c>
      <c r="B388" s="421" t="s">
        <v>397</v>
      </c>
      <c r="C388" s="461">
        <v>0</v>
      </c>
      <c r="D388" s="461"/>
      <c r="E388" s="461">
        <v>0</v>
      </c>
      <c r="F388" s="457"/>
      <c r="G388" s="458">
        <f t="shared" si="20"/>
        <v>0</v>
      </c>
      <c r="H388" s="457"/>
      <c r="I388" s="461"/>
      <c r="J388" s="459">
        <f t="shared" si="21"/>
        <v>0</v>
      </c>
      <c r="K388" s="460"/>
      <c r="M388">
        <f t="shared" si="22"/>
        <v>0</v>
      </c>
      <c r="N388" s="415"/>
      <c r="O388" s="415"/>
    </row>
    <row r="389" customFormat="1" ht="20" hidden="1" customHeight="1" spans="1:15">
      <c r="A389" s="418">
        <v>2050902</v>
      </c>
      <c r="B389" s="421" t="s">
        <v>398</v>
      </c>
      <c r="C389" s="461">
        <v>0</v>
      </c>
      <c r="D389" s="461"/>
      <c r="E389" s="461">
        <v>0</v>
      </c>
      <c r="F389" s="457"/>
      <c r="G389" s="458">
        <f t="shared" si="20"/>
        <v>0</v>
      </c>
      <c r="H389" s="457"/>
      <c r="I389" s="461"/>
      <c r="J389" s="459">
        <f t="shared" si="21"/>
        <v>0</v>
      </c>
      <c r="K389" s="460"/>
      <c r="M389">
        <f t="shared" si="22"/>
        <v>0</v>
      </c>
      <c r="N389" s="415"/>
      <c r="O389" s="415"/>
    </row>
    <row r="390" customFormat="1" ht="20" hidden="1" customHeight="1" spans="1:15">
      <c r="A390" s="418">
        <v>2050903</v>
      </c>
      <c r="B390" s="421" t="s">
        <v>399</v>
      </c>
      <c r="C390" s="461">
        <v>0</v>
      </c>
      <c r="D390" s="461"/>
      <c r="E390" s="461">
        <v>0</v>
      </c>
      <c r="F390" s="457"/>
      <c r="G390" s="458">
        <f t="shared" si="20"/>
        <v>0</v>
      </c>
      <c r="H390" s="457"/>
      <c r="I390" s="461"/>
      <c r="J390" s="459">
        <f t="shared" si="21"/>
        <v>0</v>
      </c>
      <c r="K390" s="460"/>
      <c r="M390">
        <f t="shared" si="22"/>
        <v>0</v>
      </c>
      <c r="N390" s="415"/>
      <c r="O390" s="415"/>
    </row>
    <row r="391" customFormat="1" ht="20" hidden="1" customHeight="1" spans="1:15">
      <c r="A391" s="418">
        <v>2050904</v>
      </c>
      <c r="B391" s="422" t="s">
        <v>400</v>
      </c>
      <c r="C391" s="461">
        <v>0</v>
      </c>
      <c r="D391" s="461"/>
      <c r="E391" s="461">
        <v>0</v>
      </c>
      <c r="F391" s="457"/>
      <c r="G391" s="458">
        <f t="shared" ref="G391:G454" si="23">E391-C391</f>
        <v>0</v>
      </c>
      <c r="H391" s="457"/>
      <c r="I391" s="461"/>
      <c r="J391" s="459">
        <f t="shared" ref="J391:J454" si="24">I391-D391</f>
        <v>0</v>
      </c>
      <c r="K391" s="460"/>
      <c r="M391">
        <f t="shared" si="22"/>
        <v>0</v>
      </c>
      <c r="N391" s="415"/>
      <c r="O391" s="415"/>
    </row>
    <row r="392" customFormat="1" ht="20" hidden="1" customHeight="1" spans="1:15">
      <c r="A392" s="418">
        <v>2050905</v>
      </c>
      <c r="B392" s="419" t="s">
        <v>401</v>
      </c>
      <c r="C392" s="461">
        <v>0</v>
      </c>
      <c r="D392" s="461"/>
      <c r="E392" s="461">
        <v>0</v>
      </c>
      <c r="F392" s="457"/>
      <c r="G392" s="458">
        <f t="shared" si="23"/>
        <v>0</v>
      </c>
      <c r="H392" s="457"/>
      <c r="I392" s="461"/>
      <c r="J392" s="459">
        <f t="shared" si="24"/>
        <v>0</v>
      </c>
      <c r="K392" s="460"/>
      <c r="M392">
        <f t="shared" si="22"/>
        <v>0</v>
      </c>
      <c r="N392" s="415"/>
      <c r="O392" s="415"/>
    </row>
    <row r="393" customFormat="1" ht="20" hidden="1" customHeight="1" spans="1:15">
      <c r="A393" s="418">
        <v>2050999</v>
      </c>
      <c r="B393" s="419" t="s">
        <v>402</v>
      </c>
      <c r="C393" s="461">
        <v>150.68374</v>
      </c>
      <c r="D393" s="466">
        <v>795.4</v>
      </c>
      <c r="E393" s="461">
        <v>141</v>
      </c>
      <c r="F393" s="457">
        <f t="shared" ref="F393:F398" si="25">E393/D393*100</f>
        <v>17.7269298466181</v>
      </c>
      <c r="G393" s="458">
        <f t="shared" si="23"/>
        <v>-9.68374</v>
      </c>
      <c r="H393" s="457">
        <f t="shared" ref="H393:H398" si="26">G393/C393*100</f>
        <v>-6.42653281634767</v>
      </c>
      <c r="I393" s="462">
        <v>351</v>
      </c>
      <c r="J393" s="459">
        <f t="shared" si="24"/>
        <v>-444.4</v>
      </c>
      <c r="K393" s="460">
        <f t="shared" ref="K393:K398" si="27">J393/D393*100</f>
        <v>-55.8712597435253</v>
      </c>
      <c r="M393">
        <f t="shared" si="22"/>
        <v>959</v>
      </c>
      <c r="N393" s="415">
        <v>959</v>
      </c>
      <c r="O393" s="415"/>
    </row>
    <row r="394" customFormat="1" ht="20" hidden="1" customHeight="1" spans="1:15">
      <c r="A394" s="416">
        <v>20599</v>
      </c>
      <c r="B394" s="417" t="s">
        <v>403</v>
      </c>
      <c r="C394" s="461">
        <v>442.13729</v>
      </c>
      <c r="D394" s="461">
        <v>433.604027</v>
      </c>
      <c r="E394" s="461">
        <v>625</v>
      </c>
      <c r="F394" s="457">
        <f t="shared" si="25"/>
        <v>144.140727733601</v>
      </c>
      <c r="G394" s="458">
        <f t="shared" si="23"/>
        <v>182.86271</v>
      </c>
      <c r="H394" s="457">
        <f t="shared" si="26"/>
        <v>41.3588073514451</v>
      </c>
      <c r="I394" s="461">
        <f>443.22+28.16+6</f>
        <v>477.38</v>
      </c>
      <c r="J394" s="459">
        <f t="shared" si="24"/>
        <v>43.775973</v>
      </c>
      <c r="K394" s="460">
        <f t="shared" si="27"/>
        <v>10.0958409687464</v>
      </c>
      <c r="M394">
        <f t="shared" si="22"/>
        <v>434</v>
      </c>
      <c r="N394" s="415">
        <v>434</v>
      </c>
      <c r="O394" s="415"/>
    </row>
    <row r="395" s="278" customFormat="1" ht="20" customHeight="1" spans="1:15">
      <c r="A395" s="412">
        <v>206</v>
      </c>
      <c r="B395" s="413" t="s">
        <v>404</v>
      </c>
      <c r="C395" s="346">
        <f>SUM(C396:C446)/2</f>
        <v>8600.401896</v>
      </c>
      <c r="D395" s="346">
        <f>SUM(D396:D446)/2</f>
        <v>3614.450491</v>
      </c>
      <c r="E395" s="346">
        <f>SUM(E396:E446)/2</f>
        <v>2967</v>
      </c>
      <c r="F395" s="414">
        <f t="shared" si="25"/>
        <v>82.0871667045335</v>
      </c>
      <c r="G395" s="346">
        <f t="shared" si="23"/>
        <v>-5633.401896</v>
      </c>
      <c r="H395" s="414">
        <f t="shared" si="26"/>
        <v>-65.5016121818687</v>
      </c>
      <c r="I395" s="346">
        <f>SUM(I396:I446)/2</f>
        <v>2278.628983</v>
      </c>
      <c r="J395" s="307">
        <f t="shared" si="24"/>
        <v>-1335.821508</v>
      </c>
      <c r="K395" s="306">
        <f t="shared" si="27"/>
        <v>-36.9578034427696</v>
      </c>
      <c r="M395" s="278">
        <f t="shared" si="22"/>
        <v>0</v>
      </c>
      <c r="N395" s="415"/>
      <c r="O395" s="415"/>
    </row>
    <row r="396" customFormat="1" ht="20" hidden="1" customHeight="1" spans="1:15">
      <c r="A396" s="416">
        <v>20601</v>
      </c>
      <c r="B396" s="426" t="s">
        <v>405</v>
      </c>
      <c r="C396" s="456">
        <f>SUM(C397:C400)</f>
        <v>8593.581996</v>
      </c>
      <c r="D396" s="456">
        <f>SUM(D397:D400)</f>
        <v>558.107898</v>
      </c>
      <c r="E396" s="456">
        <f>SUM(E397:E400)</f>
        <v>2849</v>
      </c>
      <c r="F396" s="457">
        <f t="shared" si="25"/>
        <v>510.474768447015</v>
      </c>
      <c r="G396" s="458">
        <f t="shared" si="23"/>
        <v>-5744.581996</v>
      </c>
      <c r="H396" s="457">
        <f t="shared" si="26"/>
        <v>-66.847351880437</v>
      </c>
      <c r="I396" s="456">
        <f>SUM(I397:I400)</f>
        <v>542.428983</v>
      </c>
      <c r="J396" s="459">
        <f t="shared" si="24"/>
        <v>-15.678915</v>
      </c>
      <c r="K396" s="460">
        <f t="shared" si="27"/>
        <v>-2.80929817624619</v>
      </c>
      <c r="M396">
        <f t="shared" si="22"/>
        <v>0</v>
      </c>
      <c r="N396" s="415"/>
      <c r="O396" s="415"/>
    </row>
    <row r="397" customFormat="1" ht="20" hidden="1" customHeight="1" spans="1:15">
      <c r="A397" s="418">
        <v>2060101</v>
      </c>
      <c r="B397" s="419" t="s">
        <v>165</v>
      </c>
      <c r="C397" s="464">
        <v>747.253379</v>
      </c>
      <c r="D397" s="461">
        <v>440.896915</v>
      </c>
      <c r="E397" s="464">
        <v>432</v>
      </c>
      <c r="F397" s="457">
        <f t="shared" si="25"/>
        <v>97.9820872640944</v>
      </c>
      <c r="G397" s="458">
        <f t="shared" si="23"/>
        <v>-315.253379</v>
      </c>
      <c r="H397" s="457">
        <f t="shared" si="26"/>
        <v>-42.1882841696725</v>
      </c>
      <c r="I397" s="461">
        <v>421.47</v>
      </c>
      <c r="J397" s="459">
        <f t="shared" si="24"/>
        <v>-19.426915</v>
      </c>
      <c r="K397" s="460">
        <f t="shared" si="27"/>
        <v>-4.40622611296791</v>
      </c>
      <c r="M397">
        <f t="shared" si="22"/>
        <v>543</v>
      </c>
      <c r="N397" s="415">
        <v>543</v>
      </c>
      <c r="O397" s="415"/>
    </row>
    <row r="398" customFormat="1" ht="20" hidden="1" customHeight="1" spans="1:15">
      <c r="A398" s="418">
        <v>2060102</v>
      </c>
      <c r="B398" s="419" t="s">
        <v>166</v>
      </c>
      <c r="C398" s="464">
        <v>7846.328617</v>
      </c>
      <c r="D398" s="466">
        <v>117.210983</v>
      </c>
      <c r="E398" s="464">
        <v>2417</v>
      </c>
      <c r="F398" s="457">
        <f t="shared" si="25"/>
        <v>2062.09344733505</v>
      </c>
      <c r="G398" s="458">
        <f t="shared" si="23"/>
        <v>-5429.328617</v>
      </c>
      <c r="H398" s="457">
        <f t="shared" si="26"/>
        <v>-69.1957841943647</v>
      </c>
      <c r="I398" s="462">
        <v>120.958983</v>
      </c>
      <c r="J398" s="459">
        <f t="shared" si="24"/>
        <v>3.748</v>
      </c>
      <c r="K398" s="460">
        <f t="shared" si="27"/>
        <v>3.19765256127918</v>
      </c>
      <c r="M398">
        <f t="shared" si="22"/>
        <v>6</v>
      </c>
      <c r="N398" s="415">
        <v>6</v>
      </c>
      <c r="O398" s="415"/>
    </row>
    <row r="399" customFormat="1" ht="20" hidden="1" customHeight="1" spans="1:15">
      <c r="A399" s="418">
        <v>2060103</v>
      </c>
      <c r="B399" s="419" t="s">
        <v>167</v>
      </c>
      <c r="C399" s="464">
        <v>0</v>
      </c>
      <c r="D399" s="461"/>
      <c r="E399" s="464">
        <v>0</v>
      </c>
      <c r="F399" s="457"/>
      <c r="G399" s="458">
        <f t="shared" si="23"/>
        <v>0</v>
      </c>
      <c r="H399" s="457"/>
      <c r="I399" s="461"/>
      <c r="J399" s="459">
        <f t="shared" si="24"/>
        <v>0</v>
      </c>
      <c r="K399" s="460"/>
      <c r="M399">
        <f t="shared" si="22"/>
        <v>0</v>
      </c>
      <c r="N399" s="415"/>
      <c r="O399" s="415"/>
    </row>
    <row r="400" customFormat="1" ht="20" hidden="1" customHeight="1" spans="1:15">
      <c r="A400" s="418">
        <v>2060199</v>
      </c>
      <c r="B400" s="421" t="s">
        <v>406</v>
      </c>
      <c r="C400" s="464">
        <v>0</v>
      </c>
      <c r="D400" s="461"/>
      <c r="E400" s="464">
        <v>0</v>
      </c>
      <c r="F400" s="457"/>
      <c r="G400" s="458">
        <f t="shared" si="23"/>
        <v>0</v>
      </c>
      <c r="H400" s="457"/>
      <c r="I400" s="461"/>
      <c r="J400" s="459">
        <f t="shared" si="24"/>
        <v>0</v>
      </c>
      <c r="K400" s="460"/>
      <c r="M400">
        <f t="shared" si="22"/>
        <v>0</v>
      </c>
      <c r="N400" s="415"/>
      <c r="O400" s="415"/>
    </row>
    <row r="401" customFormat="1" ht="20" hidden="1" customHeight="1" spans="1:15">
      <c r="A401" s="416">
        <v>20602</v>
      </c>
      <c r="B401" s="417" t="s">
        <v>407</v>
      </c>
      <c r="C401" s="456">
        <v>0</v>
      </c>
      <c r="D401" s="456"/>
      <c r="E401" s="456">
        <v>0</v>
      </c>
      <c r="F401" s="457"/>
      <c r="G401" s="458">
        <f t="shared" si="23"/>
        <v>0</v>
      </c>
      <c r="H401" s="457"/>
      <c r="I401" s="456"/>
      <c r="J401" s="459">
        <f t="shared" si="24"/>
        <v>0</v>
      </c>
      <c r="K401" s="460"/>
      <c r="M401">
        <f t="shared" si="22"/>
        <v>0</v>
      </c>
      <c r="N401" s="415"/>
      <c r="O401" s="415"/>
    </row>
    <row r="402" customFormat="1" ht="20" hidden="1" customHeight="1" spans="1:15">
      <c r="A402" s="418">
        <v>2060201</v>
      </c>
      <c r="B402" s="419" t="s">
        <v>408</v>
      </c>
      <c r="C402" s="461">
        <v>0</v>
      </c>
      <c r="D402" s="461"/>
      <c r="E402" s="461">
        <v>0</v>
      </c>
      <c r="F402" s="457"/>
      <c r="G402" s="458">
        <f t="shared" si="23"/>
        <v>0</v>
      </c>
      <c r="H402" s="457"/>
      <c r="I402" s="461"/>
      <c r="J402" s="459">
        <f t="shared" si="24"/>
        <v>0</v>
      </c>
      <c r="K402" s="460"/>
      <c r="M402">
        <f t="shared" si="22"/>
        <v>0</v>
      </c>
      <c r="N402" s="415"/>
      <c r="O402" s="415"/>
    </row>
    <row r="403" customFormat="1" ht="20" hidden="1" customHeight="1" spans="1:15">
      <c r="A403" s="418">
        <v>2060203</v>
      </c>
      <c r="B403" s="422" t="s">
        <v>409</v>
      </c>
      <c r="C403" s="461">
        <v>0</v>
      </c>
      <c r="D403" s="461"/>
      <c r="E403" s="461">
        <v>0</v>
      </c>
      <c r="F403" s="457"/>
      <c r="G403" s="458">
        <f t="shared" si="23"/>
        <v>0</v>
      </c>
      <c r="H403" s="457"/>
      <c r="I403" s="461"/>
      <c r="J403" s="459">
        <f t="shared" si="24"/>
        <v>0</v>
      </c>
      <c r="K403" s="460"/>
      <c r="M403">
        <f t="shared" si="22"/>
        <v>0</v>
      </c>
      <c r="N403" s="415"/>
      <c r="O403" s="415"/>
    </row>
    <row r="404" customFormat="1" ht="20" hidden="1" customHeight="1" spans="1:15">
      <c r="A404" s="418">
        <v>2060204</v>
      </c>
      <c r="B404" s="419" t="s">
        <v>410</v>
      </c>
      <c r="C404" s="461">
        <v>0</v>
      </c>
      <c r="D404" s="461"/>
      <c r="E404" s="461">
        <v>0</v>
      </c>
      <c r="F404" s="457"/>
      <c r="G404" s="458">
        <f t="shared" si="23"/>
        <v>0</v>
      </c>
      <c r="H404" s="457"/>
      <c r="I404" s="461"/>
      <c r="J404" s="459">
        <f t="shared" si="24"/>
        <v>0</v>
      </c>
      <c r="K404" s="460"/>
      <c r="M404">
        <f t="shared" si="22"/>
        <v>0</v>
      </c>
      <c r="N404" s="415"/>
      <c r="O404" s="415"/>
    </row>
    <row r="405" customFormat="1" ht="20" hidden="1" customHeight="1" spans="1:15">
      <c r="A405" s="418">
        <v>2060205</v>
      </c>
      <c r="B405" s="419" t="s">
        <v>411</v>
      </c>
      <c r="C405" s="461">
        <v>0</v>
      </c>
      <c r="D405" s="461"/>
      <c r="E405" s="461">
        <v>0</v>
      </c>
      <c r="F405" s="457"/>
      <c r="G405" s="458">
        <f t="shared" si="23"/>
        <v>0</v>
      </c>
      <c r="H405" s="457"/>
      <c r="I405" s="461"/>
      <c r="J405" s="459">
        <f t="shared" si="24"/>
        <v>0</v>
      </c>
      <c r="K405" s="460"/>
      <c r="M405">
        <f t="shared" si="22"/>
        <v>0</v>
      </c>
      <c r="N405" s="415"/>
      <c r="O405" s="415"/>
    </row>
    <row r="406" customFormat="1" ht="20" hidden="1" customHeight="1" spans="1:15">
      <c r="A406" s="418">
        <v>2060206</v>
      </c>
      <c r="B406" s="419" t="s">
        <v>412</v>
      </c>
      <c r="C406" s="461">
        <v>0</v>
      </c>
      <c r="D406" s="461"/>
      <c r="E406" s="461">
        <v>0</v>
      </c>
      <c r="F406" s="457"/>
      <c r="G406" s="458">
        <f t="shared" si="23"/>
        <v>0</v>
      </c>
      <c r="H406" s="457"/>
      <c r="I406" s="461"/>
      <c r="J406" s="459">
        <f t="shared" si="24"/>
        <v>0</v>
      </c>
      <c r="K406" s="460"/>
      <c r="M406">
        <f t="shared" si="22"/>
        <v>0</v>
      </c>
      <c r="N406" s="415"/>
      <c r="O406" s="415"/>
    </row>
    <row r="407" customFormat="1" ht="20" hidden="1" customHeight="1" spans="1:15">
      <c r="A407" s="418">
        <v>2060207</v>
      </c>
      <c r="B407" s="421" t="s">
        <v>413</v>
      </c>
      <c r="C407" s="461">
        <v>0</v>
      </c>
      <c r="D407" s="461"/>
      <c r="E407" s="461">
        <v>0</v>
      </c>
      <c r="F407" s="457"/>
      <c r="G407" s="458">
        <f t="shared" si="23"/>
        <v>0</v>
      </c>
      <c r="H407" s="457"/>
      <c r="I407" s="461"/>
      <c r="J407" s="459">
        <f t="shared" si="24"/>
        <v>0</v>
      </c>
      <c r="K407" s="460"/>
      <c r="M407">
        <f t="shared" si="22"/>
        <v>0</v>
      </c>
      <c r="N407" s="415"/>
      <c r="O407" s="415"/>
    </row>
    <row r="408" customFormat="1" ht="20" hidden="1" customHeight="1" spans="1:15">
      <c r="A408" s="418">
        <v>2060299</v>
      </c>
      <c r="B408" s="421" t="s">
        <v>414</v>
      </c>
      <c r="C408" s="461">
        <v>0</v>
      </c>
      <c r="D408" s="461"/>
      <c r="E408" s="461">
        <v>0</v>
      </c>
      <c r="F408" s="457"/>
      <c r="G408" s="458">
        <f t="shared" si="23"/>
        <v>0</v>
      </c>
      <c r="H408" s="457"/>
      <c r="I408" s="461"/>
      <c r="J408" s="459">
        <f t="shared" si="24"/>
        <v>0</v>
      </c>
      <c r="K408" s="460"/>
      <c r="M408">
        <f t="shared" si="22"/>
        <v>0</v>
      </c>
      <c r="N408" s="415"/>
      <c r="O408" s="415"/>
    </row>
    <row r="409" customFormat="1" ht="20" hidden="1" customHeight="1" spans="1:15">
      <c r="A409" s="416">
        <v>20603</v>
      </c>
      <c r="B409" s="426" t="s">
        <v>415</v>
      </c>
      <c r="C409" s="470">
        <f>SUM(C410:C414)</f>
        <v>4.0599</v>
      </c>
      <c r="D409" s="470">
        <f>SUM(D410:D414)</f>
        <v>0</v>
      </c>
      <c r="E409" s="470">
        <f>SUM(E410:E414)</f>
        <v>1</v>
      </c>
      <c r="F409" s="457"/>
      <c r="G409" s="458">
        <f t="shared" si="23"/>
        <v>-3.0599</v>
      </c>
      <c r="H409" s="457">
        <f>G409/C409*100</f>
        <v>-75.3688514495431</v>
      </c>
      <c r="I409" s="470">
        <f>SUM(I410:I414)</f>
        <v>0</v>
      </c>
      <c r="J409" s="459">
        <f t="shared" si="24"/>
        <v>0</v>
      </c>
      <c r="K409" s="460"/>
      <c r="M409">
        <f t="shared" si="22"/>
        <v>0</v>
      </c>
      <c r="N409" s="415"/>
      <c r="O409" s="415"/>
    </row>
    <row r="410" customFormat="1" ht="20" hidden="1" customHeight="1" spans="1:15">
      <c r="A410" s="418">
        <v>2060301</v>
      </c>
      <c r="B410" s="419" t="s">
        <v>408</v>
      </c>
      <c r="C410" s="464">
        <v>0</v>
      </c>
      <c r="D410" s="461"/>
      <c r="E410" s="464">
        <v>0</v>
      </c>
      <c r="F410" s="457"/>
      <c r="G410" s="458">
        <f t="shared" si="23"/>
        <v>0</v>
      </c>
      <c r="H410" s="457"/>
      <c r="I410" s="461"/>
      <c r="J410" s="459">
        <f t="shared" si="24"/>
        <v>0</v>
      </c>
      <c r="K410" s="460"/>
      <c r="M410">
        <f t="shared" si="22"/>
        <v>0</v>
      </c>
      <c r="N410" s="415"/>
      <c r="O410" s="415"/>
    </row>
    <row r="411" customFormat="1" ht="20" hidden="1" customHeight="1" spans="1:15">
      <c r="A411" s="418">
        <v>2060302</v>
      </c>
      <c r="B411" s="419" t="s">
        <v>416</v>
      </c>
      <c r="C411" s="464">
        <v>4.0599</v>
      </c>
      <c r="D411" s="461"/>
      <c r="E411" s="464">
        <v>1</v>
      </c>
      <c r="F411" s="457"/>
      <c r="G411" s="458">
        <f t="shared" si="23"/>
        <v>-3.0599</v>
      </c>
      <c r="H411" s="457">
        <f>G411/C411*100</f>
        <v>-75.3688514495431</v>
      </c>
      <c r="I411" s="461"/>
      <c r="J411" s="459">
        <f t="shared" si="24"/>
        <v>0</v>
      </c>
      <c r="K411" s="460"/>
      <c r="M411">
        <f t="shared" si="22"/>
        <v>0</v>
      </c>
      <c r="N411" s="415"/>
      <c r="O411" s="415"/>
    </row>
    <row r="412" customFormat="1" ht="20" hidden="1" customHeight="1" spans="1:15">
      <c r="A412" s="418">
        <v>2060303</v>
      </c>
      <c r="B412" s="419" t="s">
        <v>417</v>
      </c>
      <c r="C412" s="464">
        <v>0</v>
      </c>
      <c r="D412" s="461"/>
      <c r="E412" s="464">
        <v>0</v>
      </c>
      <c r="F412" s="457"/>
      <c r="G412" s="458">
        <f t="shared" si="23"/>
        <v>0</v>
      </c>
      <c r="H412" s="457"/>
      <c r="I412" s="461"/>
      <c r="J412" s="459">
        <f t="shared" si="24"/>
        <v>0</v>
      </c>
      <c r="K412" s="460"/>
      <c r="M412">
        <f t="shared" si="22"/>
        <v>0</v>
      </c>
      <c r="N412" s="415"/>
      <c r="O412" s="415"/>
    </row>
    <row r="413" customFormat="1" ht="20" hidden="1" customHeight="1" spans="1:15">
      <c r="A413" s="418">
        <v>2060304</v>
      </c>
      <c r="B413" s="421" t="s">
        <v>418</v>
      </c>
      <c r="C413" s="464">
        <v>0</v>
      </c>
      <c r="D413" s="461"/>
      <c r="E413" s="464">
        <v>0</v>
      </c>
      <c r="F413" s="457"/>
      <c r="G413" s="458">
        <f t="shared" si="23"/>
        <v>0</v>
      </c>
      <c r="H413" s="457"/>
      <c r="I413" s="461"/>
      <c r="J413" s="459">
        <f t="shared" si="24"/>
        <v>0</v>
      </c>
      <c r="K413" s="460"/>
      <c r="M413">
        <f t="shared" si="22"/>
        <v>0</v>
      </c>
      <c r="N413" s="415"/>
      <c r="O413" s="415"/>
    </row>
    <row r="414" customFormat="1" ht="20" hidden="1" customHeight="1" spans="1:15">
      <c r="A414" s="418">
        <v>2060399</v>
      </c>
      <c r="B414" s="421" t="s">
        <v>419</v>
      </c>
      <c r="C414" s="464">
        <v>0</v>
      </c>
      <c r="D414" s="461"/>
      <c r="E414" s="464">
        <v>0</v>
      </c>
      <c r="F414" s="457"/>
      <c r="G414" s="458">
        <f t="shared" si="23"/>
        <v>0</v>
      </c>
      <c r="H414" s="457"/>
      <c r="I414" s="461"/>
      <c r="J414" s="459">
        <f t="shared" si="24"/>
        <v>0</v>
      </c>
      <c r="K414" s="460"/>
      <c r="M414">
        <f t="shared" si="22"/>
        <v>0</v>
      </c>
      <c r="N414" s="415"/>
      <c r="O414" s="415"/>
    </row>
    <row r="415" customFormat="1" ht="20" hidden="1" customHeight="1" spans="1:15">
      <c r="A415" s="416">
        <v>20604</v>
      </c>
      <c r="B415" s="426" t="s">
        <v>420</v>
      </c>
      <c r="C415" s="456">
        <v>0</v>
      </c>
      <c r="D415" s="456"/>
      <c r="E415" s="456">
        <v>0</v>
      </c>
      <c r="F415" s="457"/>
      <c r="G415" s="458">
        <f t="shared" si="23"/>
        <v>0</v>
      </c>
      <c r="H415" s="457"/>
      <c r="I415" s="456"/>
      <c r="J415" s="459">
        <f t="shared" si="24"/>
        <v>0</v>
      </c>
      <c r="K415" s="460"/>
      <c r="M415">
        <f t="shared" si="22"/>
        <v>0</v>
      </c>
      <c r="N415" s="415"/>
      <c r="O415" s="415"/>
    </row>
    <row r="416" customFormat="1" ht="20" hidden="1" customHeight="1" spans="1:15">
      <c r="A416" s="418">
        <v>2060401</v>
      </c>
      <c r="B416" s="422" t="s">
        <v>408</v>
      </c>
      <c r="C416" s="464">
        <v>0</v>
      </c>
      <c r="D416" s="461"/>
      <c r="E416" s="464">
        <v>0</v>
      </c>
      <c r="F416" s="457"/>
      <c r="G416" s="458">
        <f t="shared" si="23"/>
        <v>0</v>
      </c>
      <c r="H416" s="457"/>
      <c r="I416" s="461"/>
      <c r="J416" s="459">
        <f t="shared" si="24"/>
        <v>0</v>
      </c>
      <c r="K416" s="460"/>
      <c r="M416">
        <f t="shared" si="22"/>
        <v>0</v>
      </c>
      <c r="N416" s="415"/>
      <c r="O416" s="415"/>
    </row>
    <row r="417" customFormat="1" ht="20" hidden="1" customHeight="1" spans="1:15">
      <c r="A417" s="418">
        <v>2060404</v>
      </c>
      <c r="B417" s="419" t="s">
        <v>421</v>
      </c>
      <c r="C417" s="464">
        <v>0</v>
      </c>
      <c r="D417" s="461"/>
      <c r="E417" s="464">
        <v>0</v>
      </c>
      <c r="F417" s="457"/>
      <c r="G417" s="458">
        <f t="shared" si="23"/>
        <v>0</v>
      </c>
      <c r="H417" s="457"/>
      <c r="I417" s="461"/>
      <c r="J417" s="459">
        <f t="shared" si="24"/>
        <v>0</v>
      </c>
      <c r="K417" s="460"/>
      <c r="M417">
        <f t="shared" si="22"/>
        <v>0</v>
      </c>
      <c r="N417" s="415"/>
      <c r="O417" s="415"/>
    </row>
    <row r="418" customFormat="1" ht="20" hidden="1" customHeight="1" spans="1:15">
      <c r="A418" s="418">
        <v>2060405</v>
      </c>
      <c r="B418" s="419" t="s">
        <v>422</v>
      </c>
      <c r="C418" s="464">
        <v>0</v>
      </c>
      <c r="D418" s="461"/>
      <c r="E418" s="464">
        <v>0</v>
      </c>
      <c r="F418" s="457"/>
      <c r="G418" s="458">
        <f t="shared" si="23"/>
        <v>0</v>
      </c>
      <c r="H418" s="457"/>
      <c r="I418" s="461"/>
      <c r="J418" s="459">
        <f t="shared" si="24"/>
        <v>0</v>
      </c>
      <c r="K418" s="460"/>
      <c r="M418">
        <f t="shared" si="22"/>
        <v>0</v>
      </c>
      <c r="N418" s="415"/>
      <c r="O418" s="415"/>
    </row>
    <row r="419" customFormat="1" ht="20" hidden="1" customHeight="1" spans="1:15">
      <c r="A419" s="418">
        <v>2060499</v>
      </c>
      <c r="B419" s="421" t="s">
        <v>423</v>
      </c>
      <c r="C419" s="464">
        <v>0</v>
      </c>
      <c r="D419" s="461"/>
      <c r="E419" s="464">
        <v>0</v>
      </c>
      <c r="F419" s="457"/>
      <c r="G419" s="458">
        <f t="shared" si="23"/>
        <v>0</v>
      </c>
      <c r="H419" s="457"/>
      <c r="I419" s="461"/>
      <c r="J419" s="459">
        <f t="shared" si="24"/>
        <v>0</v>
      </c>
      <c r="K419" s="460"/>
      <c r="M419">
        <f t="shared" si="22"/>
        <v>0</v>
      </c>
      <c r="N419" s="415"/>
      <c r="O419" s="415"/>
    </row>
    <row r="420" customFormat="1" ht="20" hidden="1" customHeight="1" spans="1:15">
      <c r="A420" s="416">
        <v>20605</v>
      </c>
      <c r="B420" s="426" t="s">
        <v>424</v>
      </c>
      <c r="C420" s="456">
        <v>0</v>
      </c>
      <c r="D420" s="456"/>
      <c r="E420" s="456">
        <v>0</v>
      </c>
      <c r="F420" s="457"/>
      <c r="G420" s="458">
        <f t="shared" si="23"/>
        <v>0</v>
      </c>
      <c r="H420" s="457"/>
      <c r="I420" s="456"/>
      <c r="J420" s="459">
        <f t="shared" si="24"/>
        <v>0</v>
      </c>
      <c r="K420" s="460"/>
      <c r="M420">
        <f t="shared" si="22"/>
        <v>0</v>
      </c>
      <c r="N420" s="415"/>
      <c r="O420" s="415"/>
    </row>
    <row r="421" customFormat="1" ht="20" hidden="1" customHeight="1" spans="1:15">
      <c r="A421" s="418">
        <v>2060501</v>
      </c>
      <c r="B421" s="421" t="s">
        <v>408</v>
      </c>
      <c r="C421" s="464">
        <v>0</v>
      </c>
      <c r="D421" s="461"/>
      <c r="E421" s="464">
        <v>0</v>
      </c>
      <c r="F421" s="457"/>
      <c r="G421" s="458">
        <f t="shared" si="23"/>
        <v>0</v>
      </c>
      <c r="H421" s="457"/>
      <c r="I421" s="461"/>
      <c r="J421" s="459">
        <f t="shared" si="24"/>
        <v>0</v>
      </c>
      <c r="K421" s="460"/>
      <c r="M421">
        <f t="shared" si="22"/>
        <v>0</v>
      </c>
      <c r="N421" s="415"/>
      <c r="O421" s="415"/>
    </row>
    <row r="422" customFormat="1" ht="20" hidden="1" customHeight="1" spans="1:15">
      <c r="A422" s="418">
        <v>2060502</v>
      </c>
      <c r="B422" s="419" t="s">
        <v>425</v>
      </c>
      <c r="C422" s="464">
        <v>0</v>
      </c>
      <c r="D422" s="461"/>
      <c r="E422" s="464">
        <v>0</v>
      </c>
      <c r="F422" s="457"/>
      <c r="G422" s="458">
        <f t="shared" si="23"/>
        <v>0</v>
      </c>
      <c r="H422" s="457"/>
      <c r="I422" s="461"/>
      <c r="J422" s="459">
        <f t="shared" si="24"/>
        <v>0</v>
      </c>
      <c r="K422" s="460"/>
      <c r="M422">
        <f t="shared" si="22"/>
        <v>0</v>
      </c>
      <c r="N422" s="415"/>
      <c r="O422" s="415"/>
    </row>
    <row r="423" customFormat="1" ht="20" hidden="1" customHeight="1" spans="1:15">
      <c r="A423" s="418">
        <v>2060503</v>
      </c>
      <c r="B423" s="419" t="s">
        <v>426</v>
      </c>
      <c r="C423" s="464">
        <v>0</v>
      </c>
      <c r="D423" s="461"/>
      <c r="E423" s="464">
        <v>0</v>
      </c>
      <c r="F423" s="457"/>
      <c r="G423" s="458">
        <f t="shared" si="23"/>
        <v>0</v>
      </c>
      <c r="H423" s="457"/>
      <c r="I423" s="461"/>
      <c r="J423" s="459">
        <f t="shared" si="24"/>
        <v>0</v>
      </c>
      <c r="K423" s="460"/>
      <c r="M423">
        <f t="shared" si="22"/>
        <v>0</v>
      </c>
      <c r="N423" s="415"/>
      <c r="O423" s="415"/>
    </row>
    <row r="424" customFormat="1" ht="20" hidden="1" customHeight="1" spans="1:15">
      <c r="A424" s="418">
        <v>2060599</v>
      </c>
      <c r="B424" s="419" t="s">
        <v>427</v>
      </c>
      <c r="C424" s="464">
        <v>0</v>
      </c>
      <c r="D424" s="461"/>
      <c r="E424" s="464">
        <v>0</v>
      </c>
      <c r="F424" s="457"/>
      <c r="G424" s="458">
        <f t="shared" si="23"/>
        <v>0</v>
      </c>
      <c r="H424" s="457"/>
      <c r="I424" s="461"/>
      <c r="J424" s="459">
        <f t="shared" si="24"/>
        <v>0</v>
      </c>
      <c r="K424" s="460"/>
      <c r="M424">
        <f t="shared" si="22"/>
        <v>0</v>
      </c>
      <c r="N424" s="415"/>
      <c r="O424" s="415"/>
    </row>
    <row r="425" customFormat="1" ht="20" hidden="1" customHeight="1" spans="1:15">
      <c r="A425" s="416">
        <v>20606</v>
      </c>
      <c r="B425" s="426" t="s">
        <v>428</v>
      </c>
      <c r="C425" s="456">
        <v>0</v>
      </c>
      <c r="D425" s="456"/>
      <c r="E425" s="456">
        <v>0</v>
      </c>
      <c r="F425" s="457"/>
      <c r="G425" s="458">
        <f t="shared" si="23"/>
        <v>0</v>
      </c>
      <c r="H425" s="457"/>
      <c r="I425" s="456"/>
      <c r="J425" s="459">
        <f t="shared" si="24"/>
        <v>0</v>
      </c>
      <c r="K425" s="460"/>
      <c r="M425">
        <f t="shared" si="22"/>
        <v>0</v>
      </c>
      <c r="N425" s="415"/>
      <c r="O425" s="415"/>
    </row>
    <row r="426" customFormat="1" ht="20" hidden="1" customHeight="1" spans="1:15">
      <c r="A426" s="418">
        <v>2060601</v>
      </c>
      <c r="B426" s="421" t="s">
        <v>429</v>
      </c>
      <c r="C426" s="464">
        <v>0</v>
      </c>
      <c r="D426" s="461"/>
      <c r="E426" s="464">
        <v>0</v>
      </c>
      <c r="F426" s="457"/>
      <c r="G426" s="458">
        <f t="shared" si="23"/>
        <v>0</v>
      </c>
      <c r="H426" s="457"/>
      <c r="I426" s="461"/>
      <c r="J426" s="459">
        <f t="shared" si="24"/>
        <v>0</v>
      </c>
      <c r="K426" s="460"/>
      <c r="M426">
        <f t="shared" si="22"/>
        <v>0</v>
      </c>
      <c r="N426" s="415"/>
      <c r="O426" s="415"/>
    </row>
    <row r="427" customFormat="1" ht="20" hidden="1" customHeight="1" spans="1:15">
      <c r="A427" s="418">
        <v>2060602</v>
      </c>
      <c r="B427" s="421" t="s">
        <v>430</v>
      </c>
      <c r="C427" s="464">
        <v>0</v>
      </c>
      <c r="D427" s="461"/>
      <c r="E427" s="464">
        <v>0</v>
      </c>
      <c r="F427" s="457"/>
      <c r="G427" s="458">
        <f t="shared" si="23"/>
        <v>0</v>
      </c>
      <c r="H427" s="457"/>
      <c r="I427" s="461"/>
      <c r="J427" s="459">
        <f t="shared" si="24"/>
        <v>0</v>
      </c>
      <c r="K427" s="460"/>
      <c r="M427">
        <f t="shared" si="22"/>
        <v>0</v>
      </c>
      <c r="N427" s="415"/>
      <c r="O427" s="415"/>
    </row>
    <row r="428" customFormat="1" ht="20" hidden="1" customHeight="1" spans="1:15">
      <c r="A428" s="418">
        <v>2060603</v>
      </c>
      <c r="B428" s="422" t="s">
        <v>431</v>
      </c>
      <c r="C428" s="464">
        <v>0</v>
      </c>
      <c r="D428" s="461"/>
      <c r="E428" s="464">
        <v>0</v>
      </c>
      <c r="F428" s="457"/>
      <c r="G428" s="458">
        <f t="shared" si="23"/>
        <v>0</v>
      </c>
      <c r="H428" s="457"/>
      <c r="I428" s="461"/>
      <c r="J428" s="459">
        <f t="shared" si="24"/>
        <v>0</v>
      </c>
      <c r="K428" s="460"/>
      <c r="M428">
        <f t="shared" si="22"/>
        <v>0</v>
      </c>
      <c r="N428" s="415"/>
      <c r="O428" s="415"/>
    </row>
    <row r="429" customFormat="1" ht="20" hidden="1" customHeight="1" spans="1:15">
      <c r="A429" s="418">
        <v>2060699</v>
      </c>
      <c r="B429" s="419" t="s">
        <v>432</v>
      </c>
      <c r="C429" s="464">
        <v>0</v>
      </c>
      <c r="D429" s="461"/>
      <c r="E429" s="464">
        <v>0</v>
      </c>
      <c r="F429" s="457"/>
      <c r="G429" s="458">
        <f t="shared" si="23"/>
        <v>0</v>
      </c>
      <c r="H429" s="457"/>
      <c r="I429" s="461"/>
      <c r="J429" s="459">
        <f t="shared" si="24"/>
        <v>0</v>
      </c>
      <c r="K429" s="460"/>
      <c r="M429">
        <f t="shared" ref="M429:M492" si="28">N429+O429</f>
        <v>0</v>
      </c>
      <c r="N429" s="415"/>
      <c r="O429" s="415"/>
    </row>
    <row r="430" customFormat="1" ht="20" hidden="1" customHeight="1" spans="1:15">
      <c r="A430" s="416">
        <v>20607</v>
      </c>
      <c r="B430" s="417" t="s">
        <v>433</v>
      </c>
      <c r="C430" s="456">
        <f>SUM(C431:C436)</f>
        <v>2.76</v>
      </c>
      <c r="D430" s="456">
        <f>SUM(D431:D436)</f>
        <v>0</v>
      </c>
      <c r="E430" s="456">
        <f>SUM(E431:E436)</f>
        <v>0</v>
      </c>
      <c r="F430" s="457"/>
      <c r="G430" s="458">
        <f t="shared" si="23"/>
        <v>-2.76</v>
      </c>
      <c r="H430" s="457">
        <f>G430/C430*100</f>
        <v>-100</v>
      </c>
      <c r="I430" s="456">
        <f>SUM(I431:I436)</f>
        <v>0</v>
      </c>
      <c r="J430" s="459">
        <f t="shared" si="24"/>
        <v>0</v>
      </c>
      <c r="K430" s="460"/>
      <c r="M430">
        <f t="shared" si="28"/>
        <v>0</v>
      </c>
      <c r="N430" s="415"/>
      <c r="O430" s="415"/>
    </row>
    <row r="431" customFormat="1" ht="20" hidden="1" customHeight="1" spans="1:15">
      <c r="A431" s="418">
        <v>2060701</v>
      </c>
      <c r="B431" s="419" t="s">
        <v>408</v>
      </c>
      <c r="C431" s="464">
        <v>0</v>
      </c>
      <c r="D431" s="461"/>
      <c r="E431" s="464">
        <v>0</v>
      </c>
      <c r="F431" s="457"/>
      <c r="G431" s="458">
        <f t="shared" si="23"/>
        <v>0</v>
      </c>
      <c r="H431" s="457"/>
      <c r="I431" s="461"/>
      <c r="J431" s="459">
        <f t="shared" si="24"/>
        <v>0</v>
      </c>
      <c r="K431" s="460"/>
      <c r="M431">
        <f t="shared" si="28"/>
        <v>0</v>
      </c>
      <c r="N431" s="415"/>
      <c r="O431" s="415"/>
    </row>
    <row r="432" customFormat="1" ht="20" hidden="1" customHeight="1" spans="1:15">
      <c r="A432" s="418">
        <v>2060702</v>
      </c>
      <c r="B432" s="421" t="s">
        <v>434</v>
      </c>
      <c r="C432" s="464">
        <v>0</v>
      </c>
      <c r="D432" s="461"/>
      <c r="E432" s="464">
        <v>0</v>
      </c>
      <c r="F432" s="457"/>
      <c r="G432" s="458">
        <f t="shared" si="23"/>
        <v>0</v>
      </c>
      <c r="H432" s="457"/>
      <c r="I432" s="461"/>
      <c r="J432" s="459">
        <f t="shared" si="24"/>
        <v>0</v>
      </c>
      <c r="K432" s="460"/>
      <c r="M432">
        <f t="shared" si="28"/>
        <v>0</v>
      </c>
      <c r="N432" s="415"/>
      <c r="O432" s="415"/>
    </row>
    <row r="433" customFormat="1" ht="20" hidden="1" customHeight="1" spans="1:15">
      <c r="A433" s="418">
        <v>2060703</v>
      </c>
      <c r="B433" s="421" t="s">
        <v>435</v>
      </c>
      <c r="C433" s="464">
        <v>0</v>
      </c>
      <c r="D433" s="461"/>
      <c r="E433" s="464">
        <v>0</v>
      </c>
      <c r="F433" s="457"/>
      <c r="G433" s="458">
        <f t="shared" si="23"/>
        <v>0</v>
      </c>
      <c r="H433" s="457"/>
      <c r="I433" s="461"/>
      <c r="J433" s="459">
        <f t="shared" si="24"/>
        <v>0</v>
      </c>
      <c r="K433" s="460"/>
      <c r="M433">
        <f t="shared" si="28"/>
        <v>0</v>
      </c>
      <c r="N433" s="415"/>
      <c r="O433" s="415"/>
    </row>
    <row r="434" customFormat="1" ht="20" hidden="1" customHeight="1" spans="1:15">
      <c r="A434" s="418">
        <v>2060704</v>
      </c>
      <c r="B434" s="421" t="s">
        <v>436</v>
      </c>
      <c r="C434" s="464">
        <v>0</v>
      </c>
      <c r="D434" s="461"/>
      <c r="E434" s="464">
        <v>0</v>
      </c>
      <c r="F434" s="457"/>
      <c r="G434" s="458">
        <f t="shared" si="23"/>
        <v>0</v>
      </c>
      <c r="H434" s="457"/>
      <c r="I434" s="461"/>
      <c r="J434" s="459">
        <f t="shared" si="24"/>
        <v>0</v>
      </c>
      <c r="K434" s="460"/>
      <c r="M434">
        <f t="shared" si="28"/>
        <v>0</v>
      </c>
      <c r="N434" s="415"/>
      <c r="O434" s="415"/>
    </row>
    <row r="435" customFormat="1" ht="20" hidden="1" customHeight="1" spans="1:15">
      <c r="A435" s="418">
        <v>2060705</v>
      </c>
      <c r="B435" s="419" t="s">
        <v>437</v>
      </c>
      <c r="C435" s="464">
        <v>0</v>
      </c>
      <c r="D435" s="461"/>
      <c r="E435" s="464">
        <v>0</v>
      </c>
      <c r="F435" s="457"/>
      <c r="G435" s="458">
        <f t="shared" si="23"/>
        <v>0</v>
      </c>
      <c r="H435" s="457"/>
      <c r="I435" s="461"/>
      <c r="J435" s="459">
        <f t="shared" si="24"/>
        <v>0</v>
      </c>
      <c r="K435" s="460"/>
      <c r="M435">
        <f t="shared" si="28"/>
        <v>0</v>
      </c>
      <c r="N435" s="415"/>
      <c r="O435" s="415"/>
    </row>
    <row r="436" customFormat="1" ht="20" hidden="1" customHeight="1" spans="1:15">
      <c r="A436" s="418">
        <v>2060799</v>
      </c>
      <c r="B436" s="419" t="s">
        <v>438</v>
      </c>
      <c r="C436" s="464">
        <v>2.76</v>
      </c>
      <c r="D436" s="461"/>
      <c r="E436" s="464"/>
      <c r="F436" s="457"/>
      <c r="G436" s="458">
        <f t="shared" si="23"/>
        <v>-2.76</v>
      </c>
      <c r="H436" s="457">
        <f>G436/C436*100</f>
        <v>-100</v>
      </c>
      <c r="I436" s="461"/>
      <c r="J436" s="459">
        <f t="shared" si="24"/>
        <v>0</v>
      </c>
      <c r="K436" s="460"/>
      <c r="M436">
        <f t="shared" si="28"/>
        <v>2</v>
      </c>
      <c r="N436" s="415">
        <v>2</v>
      </c>
      <c r="O436" s="415"/>
    </row>
    <row r="437" customFormat="1" ht="20" hidden="1" customHeight="1" spans="1:15">
      <c r="A437" s="416">
        <v>20608</v>
      </c>
      <c r="B437" s="417" t="s">
        <v>439</v>
      </c>
      <c r="C437" s="456">
        <v>0</v>
      </c>
      <c r="D437" s="456"/>
      <c r="E437" s="456">
        <v>0</v>
      </c>
      <c r="F437" s="457"/>
      <c r="G437" s="458">
        <f t="shared" si="23"/>
        <v>0</v>
      </c>
      <c r="H437" s="457"/>
      <c r="I437" s="456"/>
      <c r="J437" s="459">
        <f t="shared" si="24"/>
        <v>0</v>
      </c>
      <c r="K437" s="460"/>
      <c r="M437">
        <f t="shared" si="28"/>
        <v>0</v>
      </c>
      <c r="N437" s="415"/>
      <c r="O437" s="415"/>
    </row>
    <row r="438" customFormat="1" ht="20" hidden="1" customHeight="1" spans="1:15">
      <c r="A438" s="418">
        <v>2060801</v>
      </c>
      <c r="B438" s="421" t="s">
        <v>440</v>
      </c>
      <c r="C438" s="461">
        <v>0</v>
      </c>
      <c r="D438" s="461"/>
      <c r="E438" s="461">
        <v>0</v>
      </c>
      <c r="F438" s="457"/>
      <c r="G438" s="458">
        <f t="shared" si="23"/>
        <v>0</v>
      </c>
      <c r="H438" s="457"/>
      <c r="I438" s="461"/>
      <c r="J438" s="459">
        <f t="shared" si="24"/>
        <v>0</v>
      </c>
      <c r="K438" s="460"/>
      <c r="M438">
        <f t="shared" si="28"/>
        <v>0</v>
      </c>
      <c r="N438" s="415"/>
      <c r="O438" s="415"/>
    </row>
    <row r="439" customFormat="1" ht="20" hidden="1" customHeight="1" spans="1:15">
      <c r="A439" s="418">
        <v>2060802</v>
      </c>
      <c r="B439" s="421" t="s">
        <v>441</v>
      </c>
      <c r="C439" s="461">
        <v>0</v>
      </c>
      <c r="D439" s="461"/>
      <c r="E439" s="461">
        <v>0</v>
      </c>
      <c r="F439" s="457"/>
      <c r="G439" s="458">
        <f t="shared" si="23"/>
        <v>0</v>
      </c>
      <c r="H439" s="457"/>
      <c r="I439" s="461"/>
      <c r="J439" s="459">
        <f t="shared" si="24"/>
        <v>0</v>
      </c>
      <c r="K439" s="460"/>
      <c r="M439">
        <f t="shared" si="28"/>
        <v>0</v>
      </c>
      <c r="N439" s="415"/>
      <c r="O439" s="415"/>
    </row>
    <row r="440" customFormat="1" ht="20" hidden="1" customHeight="1" spans="1:15">
      <c r="A440" s="418">
        <v>2060899</v>
      </c>
      <c r="B440" s="421" t="s">
        <v>442</v>
      </c>
      <c r="C440" s="461">
        <v>0</v>
      </c>
      <c r="D440" s="461"/>
      <c r="E440" s="461">
        <v>0</v>
      </c>
      <c r="F440" s="457"/>
      <c r="G440" s="458">
        <f t="shared" si="23"/>
        <v>0</v>
      </c>
      <c r="H440" s="457"/>
      <c r="I440" s="461"/>
      <c r="J440" s="459">
        <f t="shared" si="24"/>
        <v>0</v>
      </c>
      <c r="K440" s="460"/>
      <c r="M440">
        <f t="shared" si="28"/>
        <v>0</v>
      </c>
      <c r="N440" s="415"/>
      <c r="O440" s="415"/>
    </row>
    <row r="441" customFormat="1" ht="20" hidden="1" customHeight="1" spans="1:15">
      <c r="A441" s="416">
        <v>20609</v>
      </c>
      <c r="B441" s="427" t="s">
        <v>443</v>
      </c>
      <c r="C441" s="461">
        <v>0</v>
      </c>
      <c r="D441" s="461"/>
      <c r="E441" s="461">
        <v>0</v>
      </c>
      <c r="F441" s="457"/>
      <c r="G441" s="458">
        <f t="shared" si="23"/>
        <v>0</v>
      </c>
      <c r="H441" s="457"/>
      <c r="I441" s="461"/>
      <c r="J441" s="459">
        <f t="shared" si="24"/>
        <v>0</v>
      </c>
      <c r="K441" s="460"/>
      <c r="M441">
        <f t="shared" si="28"/>
        <v>0</v>
      </c>
      <c r="N441" s="415"/>
      <c r="O441" s="415"/>
    </row>
    <row r="442" customFormat="1" ht="20" hidden="1" customHeight="1" spans="1:15">
      <c r="A442" s="416">
        <v>20699</v>
      </c>
      <c r="B442" s="417" t="s">
        <v>444</v>
      </c>
      <c r="C442" s="470">
        <f>SUM(C443:C446)</f>
        <v>0</v>
      </c>
      <c r="D442" s="470">
        <f>SUM(D443:D446)</f>
        <v>3056.342593</v>
      </c>
      <c r="E442" s="470">
        <f>SUM(E443:E446)</f>
        <v>117</v>
      </c>
      <c r="F442" s="457">
        <f>E442/D442*100</f>
        <v>3.82810488156555</v>
      </c>
      <c r="G442" s="458">
        <f t="shared" si="23"/>
        <v>117</v>
      </c>
      <c r="H442" s="457"/>
      <c r="I442" s="470">
        <f>SUM(I443:I446)</f>
        <v>1736.2</v>
      </c>
      <c r="J442" s="459">
        <f t="shared" si="24"/>
        <v>-1320.142593</v>
      </c>
      <c r="K442" s="460">
        <f>J442/D442*100</f>
        <v>-43.1935410651786</v>
      </c>
      <c r="M442">
        <f t="shared" si="28"/>
        <v>0</v>
      </c>
      <c r="N442" s="415"/>
      <c r="O442" s="415"/>
    </row>
    <row r="443" customFormat="1" ht="20" hidden="1" customHeight="1" spans="1:15">
      <c r="A443" s="418">
        <v>2069901</v>
      </c>
      <c r="B443" s="419" t="s">
        <v>445</v>
      </c>
      <c r="C443" s="464">
        <v>0</v>
      </c>
      <c r="D443" s="461"/>
      <c r="E443" s="464">
        <v>0</v>
      </c>
      <c r="F443" s="457"/>
      <c r="G443" s="458">
        <f t="shared" si="23"/>
        <v>0</v>
      </c>
      <c r="H443" s="457"/>
      <c r="I443" s="461"/>
      <c r="J443" s="459">
        <f t="shared" si="24"/>
        <v>0</v>
      </c>
      <c r="K443" s="460"/>
      <c r="M443">
        <f t="shared" si="28"/>
        <v>0</v>
      </c>
      <c r="N443" s="415"/>
      <c r="O443" s="415"/>
    </row>
    <row r="444" customFormat="1" ht="20" hidden="1" customHeight="1" spans="1:15">
      <c r="A444" s="418">
        <v>2069902</v>
      </c>
      <c r="B444" s="421" t="s">
        <v>446</v>
      </c>
      <c r="C444" s="464">
        <v>0</v>
      </c>
      <c r="D444" s="461"/>
      <c r="E444" s="464">
        <v>0</v>
      </c>
      <c r="F444" s="457"/>
      <c r="G444" s="458">
        <f t="shared" si="23"/>
        <v>0</v>
      </c>
      <c r="H444" s="457"/>
      <c r="I444" s="461"/>
      <c r="J444" s="459">
        <f t="shared" si="24"/>
        <v>0</v>
      </c>
      <c r="K444" s="460"/>
      <c r="M444">
        <f t="shared" si="28"/>
        <v>0</v>
      </c>
      <c r="N444" s="415"/>
      <c r="O444" s="415"/>
    </row>
    <row r="445" customFormat="1" ht="20" hidden="1" customHeight="1" spans="1:15">
      <c r="A445" s="418">
        <v>2069903</v>
      </c>
      <c r="B445" s="421" t="s">
        <v>447</v>
      </c>
      <c r="C445" s="464">
        <v>0</v>
      </c>
      <c r="D445" s="461"/>
      <c r="E445" s="464">
        <v>0</v>
      </c>
      <c r="F445" s="457"/>
      <c r="G445" s="458">
        <f t="shared" si="23"/>
        <v>0</v>
      </c>
      <c r="H445" s="457"/>
      <c r="I445" s="461"/>
      <c r="J445" s="459">
        <f t="shared" si="24"/>
        <v>0</v>
      </c>
      <c r="K445" s="460"/>
      <c r="M445">
        <f t="shared" si="28"/>
        <v>0</v>
      </c>
      <c r="N445" s="415"/>
      <c r="O445" s="415"/>
    </row>
    <row r="446" customFormat="1" ht="20" hidden="1" customHeight="1" spans="1:15">
      <c r="A446" s="418">
        <v>2069999</v>
      </c>
      <c r="B446" s="421" t="s">
        <v>448</v>
      </c>
      <c r="C446" s="464">
        <v>0</v>
      </c>
      <c r="D446" s="466">
        <f>9.38+3046.962593</f>
        <v>3056.342593</v>
      </c>
      <c r="E446" s="464">
        <v>117</v>
      </c>
      <c r="F446" s="457">
        <f>E446/D446*100</f>
        <v>3.82810488156555</v>
      </c>
      <c r="G446" s="458">
        <f t="shared" si="23"/>
        <v>117</v>
      </c>
      <c r="H446" s="457"/>
      <c r="I446" s="462">
        <f>5+1731.2</f>
        <v>1736.2</v>
      </c>
      <c r="J446" s="459">
        <f t="shared" si="24"/>
        <v>-1320.142593</v>
      </c>
      <c r="K446" s="460">
        <f>J446/D446*100</f>
        <v>-43.1935410651786</v>
      </c>
      <c r="M446">
        <f t="shared" si="28"/>
        <v>2100</v>
      </c>
      <c r="N446" s="415"/>
      <c r="O446" s="415">
        <v>2100</v>
      </c>
    </row>
    <row r="447" s="278" customFormat="1" ht="20" customHeight="1" spans="1:15">
      <c r="A447" s="412">
        <v>207</v>
      </c>
      <c r="B447" s="413" t="s">
        <v>449</v>
      </c>
      <c r="C447" s="346">
        <f>SUM(C448:C503)/2</f>
        <v>1631.99159</v>
      </c>
      <c r="D447" s="346">
        <f>SUM(D448:D503)/2</f>
        <v>2351.925173</v>
      </c>
      <c r="E447" s="346">
        <f>SUM(E448:E503)/2</f>
        <v>1810</v>
      </c>
      <c r="F447" s="414">
        <f>E447/D447*100</f>
        <v>76.9582306775199</v>
      </c>
      <c r="G447" s="346">
        <f t="shared" si="23"/>
        <v>178.00841</v>
      </c>
      <c r="H447" s="414">
        <f>G447/C447*100</f>
        <v>10.9074342717661</v>
      </c>
      <c r="I447" s="346">
        <f>SUM(I448:I503)/2</f>
        <v>1889.173393</v>
      </c>
      <c r="J447" s="307">
        <f t="shared" si="24"/>
        <v>-462.75178</v>
      </c>
      <c r="K447" s="306">
        <f>J447/D447*100</f>
        <v>-19.6754465368359</v>
      </c>
      <c r="M447" s="278">
        <f t="shared" si="28"/>
        <v>0</v>
      </c>
      <c r="N447" s="415"/>
      <c r="O447" s="415"/>
    </row>
    <row r="448" customFormat="1" ht="20" hidden="1" customHeight="1" spans="1:15">
      <c r="A448" s="416">
        <v>20701</v>
      </c>
      <c r="B448" s="427" t="s">
        <v>450</v>
      </c>
      <c r="C448" s="456">
        <f>SUM(C449:C463)</f>
        <v>809.948048</v>
      </c>
      <c r="D448" s="456">
        <f>SUM(D449:D463)</f>
        <v>751.964232</v>
      </c>
      <c r="E448" s="456">
        <f>SUM(E449:E463)</f>
        <v>938</v>
      </c>
      <c r="F448" s="457">
        <f>E448/D448*100</f>
        <v>124.739975664162</v>
      </c>
      <c r="G448" s="458">
        <f t="shared" si="23"/>
        <v>128.051952</v>
      </c>
      <c r="H448" s="457">
        <f>G448/C448*100</f>
        <v>15.8098969824297</v>
      </c>
      <c r="I448" s="456">
        <f>SUM(I449:I463)</f>
        <v>790.233805</v>
      </c>
      <c r="J448" s="459">
        <f t="shared" si="24"/>
        <v>38.2695729999999</v>
      </c>
      <c r="K448" s="460">
        <f>J448/D448*100</f>
        <v>5.08928102846252</v>
      </c>
      <c r="M448">
        <f t="shared" si="28"/>
        <v>0</v>
      </c>
      <c r="N448" s="415"/>
      <c r="O448" s="415"/>
    </row>
    <row r="449" customFormat="1" ht="20" hidden="1" customHeight="1" spans="1:17">
      <c r="A449" s="418">
        <v>2070101</v>
      </c>
      <c r="B449" s="239" t="s">
        <v>165</v>
      </c>
      <c r="C449" s="464">
        <v>367.608018</v>
      </c>
      <c r="D449" s="461">
        <v>359.962349</v>
      </c>
      <c r="E449" s="464">
        <v>366</v>
      </c>
      <c r="F449" s="457">
        <f>E449/D449*100</f>
        <v>101.677300700135</v>
      </c>
      <c r="G449" s="458">
        <f t="shared" si="23"/>
        <v>-1.60801800000002</v>
      </c>
      <c r="H449" s="457">
        <f>G449/C449*100</f>
        <v>-0.437427346864892</v>
      </c>
      <c r="I449" s="461">
        <v>369.84</v>
      </c>
      <c r="J449" s="459">
        <f t="shared" si="24"/>
        <v>9.87765099999996</v>
      </c>
      <c r="K449" s="460">
        <f>J449/D449*100</f>
        <v>2.74407893698903</v>
      </c>
      <c r="M449">
        <f t="shared" si="28"/>
        <v>365</v>
      </c>
      <c r="N449" s="415">
        <v>365</v>
      </c>
      <c r="O449" s="415"/>
    </row>
    <row r="450" customFormat="1" ht="20" hidden="1" customHeight="1" spans="1:17">
      <c r="A450" s="418">
        <v>2070102</v>
      </c>
      <c r="B450" s="239" t="s">
        <v>166</v>
      </c>
      <c r="C450" s="464">
        <v>46.8</v>
      </c>
      <c r="D450" s="466">
        <v>16.3</v>
      </c>
      <c r="E450" s="464">
        <v>126</v>
      </c>
      <c r="F450" s="457">
        <f>E450/D450*100</f>
        <v>773.006134969325</v>
      </c>
      <c r="G450" s="458">
        <f t="shared" si="23"/>
        <v>79.2</v>
      </c>
      <c r="H450" s="457">
        <f>G450/C450*100</f>
        <v>169.230769230769</v>
      </c>
      <c r="I450" s="462">
        <v>10</v>
      </c>
      <c r="J450" s="459">
        <f t="shared" si="24"/>
        <v>-6.3</v>
      </c>
      <c r="K450" s="460">
        <f>J450/D450*100</f>
        <v>-38.6503067484663</v>
      </c>
      <c r="M450">
        <f t="shared" si="28"/>
        <v>16</v>
      </c>
      <c r="N450" s="415">
        <v>16</v>
      </c>
      <c r="O450" s="415"/>
      <c r="Q450">
        <v>117</v>
      </c>
    </row>
    <row r="451" customFormat="1" ht="20" hidden="1" customHeight="1" spans="1:17">
      <c r="A451" s="418">
        <v>2070103</v>
      </c>
      <c r="B451" s="239" t="s">
        <v>167</v>
      </c>
      <c r="C451" s="464">
        <v>0</v>
      </c>
      <c r="D451" s="461"/>
      <c r="E451" s="464">
        <v>0</v>
      </c>
      <c r="F451" s="457"/>
      <c r="G451" s="458">
        <f t="shared" si="23"/>
        <v>0</v>
      </c>
      <c r="H451" s="457"/>
      <c r="I451" s="461"/>
      <c r="J451" s="459">
        <f t="shared" si="24"/>
        <v>0</v>
      </c>
      <c r="K451" s="460"/>
      <c r="M451">
        <f t="shared" si="28"/>
        <v>0</v>
      </c>
      <c r="N451" s="415"/>
      <c r="O451" s="415"/>
    </row>
    <row r="452" customFormat="1" ht="20" hidden="1" customHeight="1" spans="1:17">
      <c r="A452" s="418">
        <v>2070104</v>
      </c>
      <c r="B452" s="239" t="s">
        <v>451</v>
      </c>
      <c r="C452" s="464">
        <v>117.601901</v>
      </c>
      <c r="D452" s="466">
        <v>138.96108</v>
      </c>
      <c r="E452" s="464">
        <v>130</v>
      </c>
      <c r="F452" s="457">
        <f>E452/D452*100</f>
        <v>93.5513742409025</v>
      </c>
      <c r="G452" s="458">
        <f t="shared" si="23"/>
        <v>12.398099</v>
      </c>
      <c r="H452" s="457">
        <f>G452/C452*100</f>
        <v>10.5424307724413</v>
      </c>
      <c r="I452" s="462">
        <v>135.633972</v>
      </c>
      <c r="J452" s="459">
        <f t="shared" si="24"/>
        <v>-3.32710800000001</v>
      </c>
      <c r="K452" s="460">
        <f>J452/D452*100</f>
        <v>-2.39427327421463</v>
      </c>
      <c r="M452">
        <f t="shared" si="28"/>
        <v>136</v>
      </c>
      <c r="N452" s="415">
        <v>136</v>
      </c>
      <c r="O452" s="415"/>
    </row>
    <row r="453" customFormat="1" ht="20" hidden="1" customHeight="1" spans="1:17">
      <c r="A453" s="418">
        <v>2070105</v>
      </c>
      <c r="B453" s="239" t="s">
        <v>452</v>
      </c>
      <c r="C453" s="464">
        <v>0</v>
      </c>
      <c r="D453" s="461"/>
      <c r="E453" s="464">
        <v>0</v>
      </c>
      <c r="F453" s="457"/>
      <c r="G453" s="458">
        <f t="shared" si="23"/>
        <v>0</v>
      </c>
      <c r="H453" s="457"/>
      <c r="I453" s="461"/>
      <c r="J453" s="459">
        <f t="shared" si="24"/>
        <v>0</v>
      </c>
      <c r="K453" s="460"/>
      <c r="M453">
        <f t="shared" si="28"/>
        <v>0</v>
      </c>
      <c r="N453" s="415"/>
      <c r="O453" s="415"/>
    </row>
    <row r="454" customFormat="1" ht="20" hidden="1" customHeight="1" spans="1:17">
      <c r="A454" s="418">
        <v>2070106</v>
      </c>
      <c r="B454" s="239" t="s">
        <v>453</v>
      </c>
      <c r="C454" s="464">
        <v>0</v>
      </c>
      <c r="D454" s="461"/>
      <c r="E454" s="464">
        <v>0</v>
      </c>
      <c r="F454" s="457"/>
      <c r="G454" s="458">
        <f t="shared" si="23"/>
        <v>0</v>
      </c>
      <c r="H454" s="457"/>
      <c r="I454" s="461"/>
      <c r="J454" s="459">
        <f t="shared" si="24"/>
        <v>0</v>
      </c>
      <c r="K454" s="460"/>
      <c r="M454">
        <f t="shared" si="28"/>
        <v>0</v>
      </c>
      <c r="N454" s="415"/>
      <c r="O454" s="415"/>
    </row>
    <row r="455" customFormat="1" ht="20" hidden="1" customHeight="1" spans="1:17">
      <c r="A455" s="418">
        <v>2070107</v>
      </c>
      <c r="B455" s="239" t="s">
        <v>454</v>
      </c>
      <c r="C455" s="464">
        <v>0</v>
      </c>
      <c r="D455" s="461"/>
      <c r="E455" s="464">
        <v>0</v>
      </c>
      <c r="F455" s="457"/>
      <c r="G455" s="458">
        <f t="shared" ref="G455:G518" si="29">E455-C455</f>
        <v>0</v>
      </c>
      <c r="H455" s="457"/>
      <c r="I455" s="461"/>
      <c r="J455" s="459">
        <f t="shared" ref="J455:J518" si="30">I455-D455</f>
        <v>0</v>
      </c>
      <c r="K455" s="460"/>
      <c r="M455">
        <f t="shared" si="28"/>
        <v>0</v>
      </c>
      <c r="N455" s="415"/>
      <c r="O455" s="415"/>
    </row>
    <row r="456" customFormat="1" ht="20" hidden="1" customHeight="1" spans="1:17">
      <c r="A456" s="418">
        <v>2070108</v>
      </c>
      <c r="B456" s="239" t="s">
        <v>455</v>
      </c>
      <c r="C456" s="464">
        <v>0</v>
      </c>
      <c r="D456" s="461"/>
      <c r="E456" s="464">
        <v>0</v>
      </c>
      <c r="F456" s="457"/>
      <c r="G456" s="458">
        <f t="shared" si="29"/>
        <v>0</v>
      </c>
      <c r="H456" s="457"/>
      <c r="I456" s="461"/>
      <c r="J456" s="459">
        <f t="shared" si="30"/>
        <v>0</v>
      </c>
      <c r="K456" s="460"/>
      <c r="M456">
        <f t="shared" si="28"/>
        <v>0</v>
      </c>
      <c r="N456" s="415"/>
      <c r="O456" s="415"/>
    </row>
    <row r="457" customFormat="1" ht="20" hidden="1" customHeight="1" spans="1:17">
      <c r="A457" s="418">
        <v>2070109</v>
      </c>
      <c r="B457" s="239" t="s">
        <v>456</v>
      </c>
      <c r="C457" s="464">
        <v>255.779099</v>
      </c>
      <c r="D457" s="466">
        <v>236.740803</v>
      </c>
      <c r="E457" s="464">
        <v>251</v>
      </c>
      <c r="F457" s="457">
        <f>E457/D457*100</f>
        <v>106.023126059938</v>
      </c>
      <c r="G457" s="458">
        <f t="shared" si="29"/>
        <v>-4.779099</v>
      </c>
      <c r="H457" s="457">
        <f>G457/C457*100</f>
        <v>-1.86844782028105</v>
      </c>
      <c r="I457" s="462">
        <v>257.699833</v>
      </c>
      <c r="J457" s="459">
        <f t="shared" si="30"/>
        <v>20.95903</v>
      </c>
      <c r="K457" s="460">
        <f>J457/D457*100</f>
        <v>8.85315489953796</v>
      </c>
      <c r="M457">
        <f t="shared" si="28"/>
        <v>295</v>
      </c>
      <c r="N457" s="415">
        <v>295</v>
      </c>
      <c r="O457" s="415"/>
    </row>
    <row r="458" customFormat="1" ht="20" hidden="1" customHeight="1" spans="1:17">
      <c r="A458" s="418">
        <v>2070110</v>
      </c>
      <c r="B458" s="239" t="s">
        <v>457</v>
      </c>
      <c r="C458" s="464">
        <v>0</v>
      </c>
      <c r="D458" s="461"/>
      <c r="E458" s="464">
        <v>0</v>
      </c>
      <c r="F458" s="457"/>
      <c r="G458" s="458">
        <f t="shared" si="29"/>
        <v>0</v>
      </c>
      <c r="H458" s="457"/>
      <c r="I458" s="461"/>
      <c r="J458" s="459">
        <f t="shared" si="30"/>
        <v>0</v>
      </c>
      <c r="K458" s="460"/>
      <c r="M458">
        <f t="shared" si="28"/>
        <v>0</v>
      </c>
      <c r="N458" s="415"/>
      <c r="O458" s="415"/>
    </row>
    <row r="459" customFormat="1" ht="20" hidden="1" customHeight="1" spans="1:17">
      <c r="A459" s="418">
        <v>2070111</v>
      </c>
      <c r="B459" s="239" t="s">
        <v>458</v>
      </c>
      <c r="C459" s="464">
        <v>0</v>
      </c>
      <c r="D459" s="461"/>
      <c r="E459" s="464">
        <v>0</v>
      </c>
      <c r="F459" s="457"/>
      <c r="G459" s="458">
        <f t="shared" si="29"/>
        <v>0</v>
      </c>
      <c r="H459" s="457"/>
      <c r="I459" s="461"/>
      <c r="J459" s="459">
        <f t="shared" si="30"/>
        <v>0</v>
      </c>
      <c r="K459" s="460"/>
      <c r="M459">
        <f t="shared" si="28"/>
        <v>0</v>
      </c>
      <c r="N459" s="415"/>
      <c r="O459" s="415"/>
    </row>
    <row r="460" customFormat="1" ht="20" hidden="1" customHeight="1" spans="1:17">
      <c r="A460" s="418">
        <v>2070112</v>
      </c>
      <c r="B460" s="239" t="s">
        <v>459</v>
      </c>
      <c r="C460" s="464">
        <v>0</v>
      </c>
      <c r="D460" s="461"/>
      <c r="E460" s="464">
        <v>0</v>
      </c>
      <c r="F460" s="457"/>
      <c r="G460" s="458">
        <f t="shared" si="29"/>
        <v>0</v>
      </c>
      <c r="H460" s="457"/>
      <c r="I460" s="461"/>
      <c r="J460" s="459">
        <f t="shared" si="30"/>
        <v>0</v>
      </c>
      <c r="K460" s="460"/>
      <c r="M460">
        <f t="shared" si="28"/>
        <v>0</v>
      </c>
      <c r="N460" s="415"/>
      <c r="O460" s="415"/>
    </row>
    <row r="461" customFormat="1" ht="20" hidden="1" customHeight="1" spans="1:17">
      <c r="A461" s="418">
        <v>2070113</v>
      </c>
      <c r="B461" s="239" t="s">
        <v>460</v>
      </c>
      <c r="C461" s="464">
        <v>0</v>
      </c>
      <c r="D461" s="461"/>
      <c r="E461" s="464">
        <v>0</v>
      </c>
      <c r="F461" s="457"/>
      <c r="G461" s="458">
        <f t="shared" si="29"/>
        <v>0</v>
      </c>
      <c r="H461" s="457"/>
      <c r="I461" s="461"/>
      <c r="J461" s="459">
        <f t="shared" si="30"/>
        <v>0</v>
      </c>
      <c r="K461" s="460"/>
      <c r="M461">
        <f t="shared" si="28"/>
        <v>0</v>
      </c>
      <c r="N461" s="415"/>
      <c r="O461" s="415"/>
    </row>
    <row r="462" customFormat="1" ht="20" hidden="1" customHeight="1" spans="1:17">
      <c r="A462" s="418">
        <v>2070114</v>
      </c>
      <c r="B462" s="239" t="s">
        <v>461</v>
      </c>
      <c r="C462" s="464">
        <v>0</v>
      </c>
      <c r="D462" s="461"/>
      <c r="E462" s="464">
        <v>0</v>
      </c>
      <c r="F462" s="457"/>
      <c r="G462" s="458">
        <f t="shared" si="29"/>
        <v>0</v>
      </c>
      <c r="H462" s="457"/>
      <c r="I462" s="461"/>
      <c r="J462" s="459">
        <f t="shared" si="30"/>
        <v>0</v>
      </c>
      <c r="K462" s="460"/>
      <c r="M462">
        <f t="shared" si="28"/>
        <v>0</v>
      </c>
      <c r="N462" s="415"/>
      <c r="O462" s="415"/>
    </row>
    <row r="463" customFormat="1" ht="20" hidden="1" customHeight="1" spans="1:17">
      <c r="A463" s="418">
        <v>2070199</v>
      </c>
      <c r="B463" s="239" t="s">
        <v>462</v>
      </c>
      <c r="C463" s="464">
        <v>22.15903</v>
      </c>
      <c r="D463" s="461"/>
      <c r="E463" s="464">
        <v>65</v>
      </c>
      <c r="F463" s="457"/>
      <c r="G463" s="458">
        <f t="shared" si="29"/>
        <v>42.84097</v>
      </c>
      <c r="H463" s="457">
        <f>G463/C463*100</f>
        <v>193.334139626148</v>
      </c>
      <c r="I463" s="461">
        <f>1.56+3+12.5</f>
        <v>17.06</v>
      </c>
      <c r="J463" s="459">
        <f t="shared" si="30"/>
        <v>17.06</v>
      </c>
      <c r="K463" s="460"/>
      <c r="M463">
        <f t="shared" si="28"/>
        <v>0</v>
      </c>
      <c r="N463" s="415"/>
      <c r="O463" s="415"/>
      <c r="P463">
        <v>79</v>
      </c>
      <c r="Q463">
        <v>50</v>
      </c>
    </row>
    <row r="464" customFormat="1" ht="20" hidden="1" customHeight="1" spans="1:17">
      <c r="A464" s="416">
        <v>20702</v>
      </c>
      <c r="B464" s="427" t="s">
        <v>463</v>
      </c>
      <c r="C464" s="470">
        <f>SUM(C465:C471)</f>
        <v>70.000682</v>
      </c>
      <c r="D464" s="470">
        <f>SUM(D465:D471)</f>
        <v>69.220654</v>
      </c>
      <c r="E464" s="470">
        <f>SUM(E465:E471)</f>
        <v>75</v>
      </c>
      <c r="F464" s="457">
        <f>E464/D464*100</f>
        <v>108.349164109313</v>
      </c>
      <c r="G464" s="458">
        <f t="shared" si="29"/>
        <v>4.999318</v>
      </c>
      <c r="H464" s="457">
        <f>G464/C464*100</f>
        <v>7.14181327547638</v>
      </c>
      <c r="I464" s="470">
        <f>SUM(I465:I471)</f>
        <v>78.749208</v>
      </c>
      <c r="J464" s="459">
        <f t="shared" si="30"/>
        <v>9.528554</v>
      </c>
      <c r="K464" s="460">
        <f>J464/D464*100</f>
        <v>13.7654781476061</v>
      </c>
      <c r="M464">
        <f t="shared" si="28"/>
        <v>0</v>
      </c>
      <c r="N464" s="415"/>
      <c r="O464" s="415"/>
    </row>
    <row r="465" customFormat="1" ht="20" hidden="1" customHeight="1" spans="1:17">
      <c r="A465" s="418">
        <v>2070201</v>
      </c>
      <c r="B465" s="239" t="s">
        <v>165</v>
      </c>
      <c r="C465" s="464">
        <v>0</v>
      </c>
      <c r="D465" s="461"/>
      <c r="E465" s="464">
        <v>0</v>
      </c>
      <c r="F465" s="457"/>
      <c r="G465" s="458">
        <f t="shared" si="29"/>
        <v>0</v>
      </c>
      <c r="H465" s="457"/>
      <c r="I465" s="461"/>
      <c r="J465" s="459">
        <f t="shared" si="30"/>
        <v>0</v>
      </c>
      <c r="K465" s="460"/>
      <c r="M465">
        <f t="shared" si="28"/>
        <v>0</v>
      </c>
      <c r="N465" s="415"/>
      <c r="O465" s="415"/>
    </row>
    <row r="466" customFormat="1" ht="20" hidden="1" customHeight="1" spans="1:17">
      <c r="A466" s="418">
        <v>2070202</v>
      </c>
      <c r="B466" s="239" t="s">
        <v>166</v>
      </c>
      <c r="C466" s="464">
        <v>0</v>
      </c>
      <c r="D466" s="461"/>
      <c r="E466" s="464">
        <v>0</v>
      </c>
      <c r="F466" s="457"/>
      <c r="G466" s="458">
        <f t="shared" si="29"/>
        <v>0</v>
      </c>
      <c r="H466" s="457"/>
      <c r="I466" s="461"/>
      <c r="J466" s="459">
        <f t="shared" si="30"/>
        <v>0</v>
      </c>
      <c r="K466" s="460"/>
      <c r="M466">
        <f t="shared" si="28"/>
        <v>0</v>
      </c>
      <c r="N466" s="415"/>
      <c r="O466" s="415"/>
    </row>
    <row r="467" customFormat="1" ht="20" hidden="1" customHeight="1" spans="1:17">
      <c r="A467" s="418">
        <v>2070203</v>
      </c>
      <c r="B467" s="239" t="s">
        <v>167</v>
      </c>
      <c r="C467" s="464">
        <v>0</v>
      </c>
      <c r="D467" s="461"/>
      <c r="E467" s="464">
        <v>0</v>
      </c>
      <c r="F467" s="457"/>
      <c r="G467" s="458">
        <f t="shared" si="29"/>
        <v>0</v>
      </c>
      <c r="H467" s="457"/>
      <c r="I467" s="461"/>
      <c r="J467" s="459">
        <f t="shared" si="30"/>
        <v>0</v>
      </c>
      <c r="K467" s="460"/>
      <c r="M467">
        <f t="shared" si="28"/>
        <v>0</v>
      </c>
      <c r="N467" s="415"/>
      <c r="O467" s="415"/>
    </row>
    <row r="468" customFormat="1" ht="20" hidden="1" customHeight="1" spans="1:17">
      <c r="A468" s="418">
        <v>2070204</v>
      </c>
      <c r="B468" s="422" t="s">
        <v>464</v>
      </c>
      <c r="C468" s="464">
        <v>0</v>
      </c>
      <c r="D468" s="461"/>
      <c r="E468" s="464">
        <v>0</v>
      </c>
      <c r="F468" s="457"/>
      <c r="G468" s="458">
        <f t="shared" si="29"/>
        <v>0</v>
      </c>
      <c r="H468" s="457"/>
      <c r="I468" s="461"/>
      <c r="J468" s="459">
        <f t="shared" si="30"/>
        <v>0</v>
      </c>
      <c r="K468" s="460"/>
      <c r="M468">
        <f t="shared" si="28"/>
        <v>0</v>
      </c>
      <c r="N468" s="415"/>
      <c r="O468" s="415"/>
    </row>
    <row r="469" customFormat="1" ht="20" hidden="1" customHeight="1" spans="1:17">
      <c r="A469" s="418">
        <v>2070205</v>
      </c>
      <c r="B469" s="422" t="s">
        <v>465</v>
      </c>
      <c r="C469" s="464">
        <v>0</v>
      </c>
      <c r="D469" s="461"/>
      <c r="E469" s="464">
        <v>0</v>
      </c>
      <c r="F469" s="457"/>
      <c r="G469" s="458">
        <f t="shared" si="29"/>
        <v>0</v>
      </c>
      <c r="H469" s="457"/>
      <c r="I469" s="461"/>
      <c r="J469" s="459">
        <f t="shared" si="30"/>
        <v>0</v>
      </c>
      <c r="K469" s="460"/>
      <c r="M469">
        <f t="shared" si="28"/>
        <v>0</v>
      </c>
      <c r="N469" s="415"/>
      <c r="O469" s="415"/>
    </row>
    <row r="470" customFormat="1" ht="20" hidden="1" customHeight="1" spans="1:17">
      <c r="A470" s="418">
        <v>2070206</v>
      </c>
      <c r="B470" s="422" t="s">
        <v>466</v>
      </c>
      <c r="C470" s="464">
        <v>0</v>
      </c>
      <c r="D470" s="461"/>
      <c r="E470" s="464">
        <v>0</v>
      </c>
      <c r="F470" s="457"/>
      <c r="G470" s="458">
        <f t="shared" si="29"/>
        <v>0</v>
      </c>
      <c r="H470" s="457"/>
      <c r="I470" s="461"/>
      <c r="J470" s="459">
        <f t="shared" si="30"/>
        <v>0</v>
      </c>
      <c r="K470" s="460"/>
      <c r="M470">
        <f t="shared" si="28"/>
        <v>0</v>
      </c>
      <c r="N470" s="415"/>
      <c r="O470" s="415"/>
    </row>
    <row r="471" customFormat="1" ht="20" hidden="1" customHeight="1" spans="1:17">
      <c r="A471" s="418">
        <v>2070299</v>
      </c>
      <c r="B471" s="422" t="s">
        <v>467</v>
      </c>
      <c r="C471" s="464">
        <v>70.000682</v>
      </c>
      <c r="D471" s="466">
        <v>69.220654</v>
      </c>
      <c r="E471" s="464">
        <v>75</v>
      </c>
      <c r="F471" s="457">
        <f>E471/D471*100</f>
        <v>108.349164109313</v>
      </c>
      <c r="G471" s="458">
        <f t="shared" si="29"/>
        <v>4.999318</v>
      </c>
      <c r="H471" s="457">
        <f>G471/C471*100</f>
        <v>7.14181327547638</v>
      </c>
      <c r="I471" s="462">
        <v>78.749208</v>
      </c>
      <c r="J471" s="459">
        <f t="shared" si="30"/>
        <v>9.528554</v>
      </c>
      <c r="K471" s="460">
        <f>J471/D471*100</f>
        <v>13.7654781476061</v>
      </c>
      <c r="M471">
        <f t="shared" si="28"/>
        <v>72</v>
      </c>
      <c r="N471" s="415">
        <v>72</v>
      </c>
      <c r="O471" s="415"/>
    </row>
    <row r="472" customFormat="1" ht="20" hidden="1" customHeight="1" spans="1:17">
      <c r="A472" s="416">
        <v>20703</v>
      </c>
      <c r="B472" s="427" t="s">
        <v>468</v>
      </c>
      <c r="C472" s="456">
        <f>SUM(C473:C482)</f>
        <v>177.576791</v>
      </c>
      <c r="D472" s="456">
        <f>SUM(D473:D482)</f>
        <v>241.653476</v>
      </c>
      <c r="E472" s="456">
        <f>SUM(E473:E482)</f>
        <v>180</v>
      </c>
      <c r="F472" s="457">
        <f>E472/D472*100</f>
        <v>74.4868242656687</v>
      </c>
      <c r="G472" s="458">
        <f t="shared" si="29"/>
        <v>2.42320900000001</v>
      </c>
      <c r="H472" s="457">
        <f>G472/C472*100</f>
        <v>1.36459780940631</v>
      </c>
      <c r="I472" s="456">
        <f>SUM(I473:I482)</f>
        <v>217.660283</v>
      </c>
      <c r="J472" s="459">
        <f t="shared" si="30"/>
        <v>-23.993193</v>
      </c>
      <c r="K472" s="460">
        <f>J472/D472*100</f>
        <v>-9.92875972535153</v>
      </c>
      <c r="M472">
        <f t="shared" si="28"/>
        <v>0</v>
      </c>
      <c r="N472" s="415"/>
      <c r="O472" s="415"/>
    </row>
    <row r="473" customFormat="1" ht="20" hidden="1" customHeight="1" spans="1:17">
      <c r="A473" s="418">
        <v>2070301</v>
      </c>
      <c r="B473" s="239" t="s">
        <v>165</v>
      </c>
      <c r="C473" s="464">
        <v>0</v>
      </c>
      <c r="D473" s="461"/>
      <c r="E473" s="464">
        <v>0</v>
      </c>
      <c r="F473" s="457"/>
      <c r="G473" s="458">
        <f t="shared" si="29"/>
        <v>0</v>
      </c>
      <c r="H473" s="457"/>
      <c r="I473" s="461"/>
      <c r="J473" s="459">
        <f t="shared" si="30"/>
        <v>0</v>
      </c>
      <c r="K473" s="460"/>
      <c r="M473">
        <f t="shared" si="28"/>
        <v>0</v>
      </c>
      <c r="N473" s="415"/>
      <c r="O473" s="415"/>
    </row>
    <row r="474" customFormat="1" ht="20" hidden="1" customHeight="1" spans="1:17">
      <c r="A474" s="418">
        <v>2070302</v>
      </c>
      <c r="B474" s="239" t="s">
        <v>166</v>
      </c>
      <c r="C474" s="464">
        <v>0</v>
      </c>
      <c r="D474" s="461"/>
      <c r="E474" s="464">
        <v>0</v>
      </c>
      <c r="F474" s="457"/>
      <c r="G474" s="458">
        <f t="shared" si="29"/>
        <v>0</v>
      </c>
      <c r="H474" s="457"/>
      <c r="I474" s="461"/>
      <c r="J474" s="459">
        <f t="shared" si="30"/>
        <v>0</v>
      </c>
      <c r="K474" s="460"/>
      <c r="M474">
        <f t="shared" si="28"/>
        <v>0</v>
      </c>
      <c r="N474" s="415"/>
      <c r="O474" s="415"/>
    </row>
    <row r="475" customFormat="1" ht="20" hidden="1" customHeight="1" spans="1:17">
      <c r="A475" s="418">
        <v>2070303</v>
      </c>
      <c r="B475" s="239" t="s">
        <v>167</v>
      </c>
      <c r="C475" s="464">
        <v>0</v>
      </c>
      <c r="D475" s="461"/>
      <c r="E475" s="464">
        <v>0</v>
      </c>
      <c r="F475" s="457"/>
      <c r="G475" s="458">
        <f t="shared" si="29"/>
        <v>0</v>
      </c>
      <c r="H475" s="457"/>
      <c r="I475" s="461"/>
      <c r="J475" s="459">
        <f t="shared" si="30"/>
        <v>0</v>
      </c>
      <c r="K475" s="460"/>
      <c r="M475">
        <f t="shared" si="28"/>
        <v>0</v>
      </c>
      <c r="N475" s="415"/>
      <c r="O475" s="415"/>
    </row>
    <row r="476" customFormat="1" ht="20" hidden="1" customHeight="1" spans="1:17">
      <c r="A476" s="418">
        <v>2070304</v>
      </c>
      <c r="B476" s="422" t="s">
        <v>469</v>
      </c>
      <c r="C476" s="464">
        <v>0</v>
      </c>
      <c r="D476" s="461"/>
      <c r="E476" s="464">
        <v>0</v>
      </c>
      <c r="F476" s="457"/>
      <c r="G476" s="458">
        <f t="shared" si="29"/>
        <v>0</v>
      </c>
      <c r="H476" s="457"/>
      <c r="I476" s="461"/>
      <c r="J476" s="459">
        <f t="shared" si="30"/>
        <v>0</v>
      </c>
      <c r="K476" s="460"/>
      <c r="M476">
        <f t="shared" si="28"/>
        <v>0</v>
      </c>
      <c r="N476" s="415"/>
      <c r="O476" s="415"/>
    </row>
    <row r="477" customFormat="1" ht="20" hidden="1" customHeight="1" spans="1:17">
      <c r="A477" s="418">
        <v>2070305</v>
      </c>
      <c r="B477" s="422" t="s">
        <v>470</v>
      </c>
      <c r="C477" s="464">
        <v>0</v>
      </c>
      <c r="D477" s="461"/>
      <c r="E477" s="464">
        <v>0</v>
      </c>
      <c r="F477" s="457"/>
      <c r="G477" s="458">
        <f t="shared" si="29"/>
        <v>0</v>
      </c>
      <c r="H477" s="457"/>
      <c r="I477" s="461"/>
      <c r="J477" s="459">
        <f t="shared" si="30"/>
        <v>0</v>
      </c>
      <c r="K477" s="460"/>
      <c r="M477">
        <f t="shared" si="28"/>
        <v>0</v>
      </c>
      <c r="N477" s="415"/>
      <c r="O477" s="415"/>
    </row>
    <row r="478" customFormat="1" ht="20" hidden="1" customHeight="1" spans="1:17">
      <c r="A478" s="418">
        <v>2070306</v>
      </c>
      <c r="B478" s="422" t="s">
        <v>471</v>
      </c>
      <c r="C478" s="464">
        <v>0</v>
      </c>
      <c r="D478" s="461"/>
      <c r="E478" s="464">
        <v>0</v>
      </c>
      <c r="F478" s="457"/>
      <c r="G478" s="458">
        <f t="shared" si="29"/>
        <v>0</v>
      </c>
      <c r="H478" s="457"/>
      <c r="I478" s="461"/>
      <c r="J478" s="459">
        <f t="shared" si="30"/>
        <v>0</v>
      </c>
      <c r="K478" s="460"/>
      <c r="M478">
        <f t="shared" si="28"/>
        <v>0</v>
      </c>
      <c r="N478" s="415"/>
      <c r="O478" s="415"/>
    </row>
    <row r="479" customFormat="1" ht="20" hidden="1" customHeight="1" spans="1:17">
      <c r="A479" s="418">
        <v>2070307</v>
      </c>
      <c r="B479" s="422" t="s">
        <v>472</v>
      </c>
      <c r="C479" s="464">
        <v>40.718336</v>
      </c>
      <c r="D479" s="461">
        <v>120</v>
      </c>
      <c r="E479" s="464">
        <v>21</v>
      </c>
      <c r="F479" s="457">
        <f>E479/D479*100</f>
        <v>17.5</v>
      </c>
      <c r="G479" s="458">
        <f t="shared" si="29"/>
        <v>-19.718336</v>
      </c>
      <c r="H479" s="457">
        <f>G479/C479*100</f>
        <v>-48.4261832310633</v>
      </c>
      <c r="I479" s="461"/>
      <c r="J479" s="459">
        <f t="shared" si="30"/>
        <v>-120</v>
      </c>
      <c r="K479" s="460">
        <f>J479/D479*100</f>
        <v>-100</v>
      </c>
      <c r="M479">
        <f t="shared" si="28"/>
        <v>0</v>
      </c>
      <c r="N479" s="415"/>
      <c r="O479" s="415"/>
      <c r="P479">
        <v>120</v>
      </c>
      <c r="Q479">
        <v>240</v>
      </c>
    </row>
    <row r="480" customFormat="1" ht="20" hidden="1" customHeight="1" spans="1:17">
      <c r="A480" s="418">
        <v>2070308</v>
      </c>
      <c r="B480" s="422" t="s">
        <v>473</v>
      </c>
      <c r="C480" s="464">
        <v>136.858455</v>
      </c>
      <c r="D480" s="466">
        <v>121.653476</v>
      </c>
      <c r="E480" s="464">
        <v>153</v>
      </c>
      <c r="F480" s="457">
        <f>E480/D480*100</f>
        <v>125.767059874228</v>
      </c>
      <c r="G480" s="458">
        <f t="shared" si="29"/>
        <v>16.141545</v>
      </c>
      <c r="H480" s="457">
        <f>G480/C480*100</f>
        <v>11.7943352495102</v>
      </c>
      <c r="I480" s="462">
        <v>213.460283</v>
      </c>
      <c r="J480" s="459">
        <f t="shared" si="30"/>
        <v>91.806807</v>
      </c>
      <c r="K480" s="460">
        <f>J480/D480*100</f>
        <v>75.465831325691</v>
      </c>
      <c r="M480">
        <f t="shared" si="28"/>
        <v>113</v>
      </c>
      <c r="N480" s="415">
        <v>113</v>
      </c>
      <c r="O480" s="415"/>
    </row>
    <row r="481" customFormat="1" ht="20" hidden="1" customHeight="1" spans="1:15">
      <c r="A481" s="418">
        <v>2070309</v>
      </c>
      <c r="B481" s="422" t="s">
        <v>474</v>
      </c>
      <c r="C481" s="464">
        <v>0</v>
      </c>
      <c r="D481" s="461"/>
      <c r="E481" s="464">
        <v>0</v>
      </c>
      <c r="F481" s="457"/>
      <c r="G481" s="458">
        <f t="shared" si="29"/>
        <v>0</v>
      </c>
      <c r="H481" s="457"/>
      <c r="I481" s="461"/>
      <c r="J481" s="459">
        <f t="shared" si="30"/>
        <v>0</v>
      </c>
      <c r="K481" s="460"/>
      <c r="M481">
        <f t="shared" si="28"/>
        <v>0</v>
      </c>
      <c r="N481" s="415"/>
      <c r="O481" s="415"/>
    </row>
    <row r="482" customFormat="1" ht="20" hidden="1" customHeight="1" spans="1:15">
      <c r="A482" s="418">
        <v>2070399</v>
      </c>
      <c r="B482" s="422" t="s">
        <v>475</v>
      </c>
      <c r="C482" s="464">
        <v>0</v>
      </c>
      <c r="D482" s="461"/>
      <c r="E482" s="464">
        <v>6</v>
      </c>
      <c r="F482" s="457"/>
      <c r="G482" s="458">
        <f t="shared" si="29"/>
        <v>6</v>
      </c>
      <c r="H482" s="457"/>
      <c r="I482" s="462">
        <v>4.2</v>
      </c>
      <c r="J482" s="459">
        <f t="shared" si="30"/>
        <v>4.2</v>
      </c>
      <c r="K482" s="460"/>
      <c r="M482">
        <f t="shared" si="28"/>
        <v>0</v>
      </c>
      <c r="N482" s="415"/>
      <c r="O482" s="415"/>
    </row>
    <row r="483" customFormat="1" ht="20" hidden="1" customHeight="1" spans="1:15">
      <c r="A483" s="416">
        <v>20706</v>
      </c>
      <c r="B483" s="427" t="s">
        <v>476</v>
      </c>
      <c r="C483" s="456">
        <v>0</v>
      </c>
      <c r="D483" s="456"/>
      <c r="E483" s="456">
        <v>0</v>
      </c>
      <c r="F483" s="457"/>
      <c r="G483" s="458">
        <f t="shared" si="29"/>
        <v>0</v>
      </c>
      <c r="H483" s="457"/>
      <c r="I483" s="456"/>
      <c r="J483" s="459">
        <f t="shared" si="30"/>
        <v>0</v>
      </c>
      <c r="K483" s="460"/>
      <c r="M483">
        <f t="shared" si="28"/>
        <v>0</v>
      </c>
      <c r="N483" s="415"/>
      <c r="O483" s="415"/>
    </row>
    <row r="484" customFormat="1" ht="20" hidden="1" customHeight="1" spans="1:15">
      <c r="A484" s="418">
        <v>2070601</v>
      </c>
      <c r="B484" s="422" t="s">
        <v>165</v>
      </c>
      <c r="C484" s="464">
        <v>0</v>
      </c>
      <c r="D484" s="461"/>
      <c r="E484" s="464">
        <v>0</v>
      </c>
      <c r="F484" s="457"/>
      <c r="G484" s="458">
        <f t="shared" si="29"/>
        <v>0</v>
      </c>
      <c r="H484" s="457"/>
      <c r="I484" s="461"/>
      <c r="J484" s="459">
        <f t="shared" si="30"/>
        <v>0</v>
      </c>
      <c r="K484" s="460"/>
      <c r="M484">
        <f t="shared" si="28"/>
        <v>0</v>
      </c>
      <c r="N484" s="415"/>
      <c r="O484" s="415"/>
    </row>
    <row r="485" customFormat="1" ht="20" hidden="1" customHeight="1" spans="1:15">
      <c r="A485" s="418">
        <v>2070602</v>
      </c>
      <c r="B485" s="422" t="s">
        <v>166</v>
      </c>
      <c r="C485" s="464">
        <v>0</v>
      </c>
      <c r="D485" s="461"/>
      <c r="E485" s="464">
        <v>0</v>
      </c>
      <c r="F485" s="457"/>
      <c r="G485" s="458">
        <f t="shared" si="29"/>
        <v>0</v>
      </c>
      <c r="H485" s="457"/>
      <c r="I485" s="461"/>
      <c r="J485" s="459">
        <f t="shared" si="30"/>
        <v>0</v>
      </c>
      <c r="K485" s="460"/>
      <c r="M485">
        <f t="shared" si="28"/>
        <v>0</v>
      </c>
      <c r="N485" s="415"/>
      <c r="O485" s="415"/>
    </row>
    <row r="486" customFormat="1" ht="20" hidden="1" customHeight="1" spans="1:15">
      <c r="A486" s="418">
        <v>2070603</v>
      </c>
      <c r="B486" s="422" t="s">
        <v>167</v>
      </c>
      <c r="C486" s="464">
        <v>0</v>
      </c>
      <c r="D486" s="461"/>
      <c r="E486" s="464">
        <v>0</v>
      </c>
      <c r="F486" s="457"/>
      <c r="G486" s="458">
        <f t="shared" si="29"/>
        <v>0</v>
      </c>
      <c r="H486" s="457"/>
      <c r="I486" s="461"/>
      <c r="J486" s="459">
        <f t="shared" si="30"/>
        <v>0</v>
      </c>
      <c r="K486" s="460"/>
      <c r="M486">
        <f t="shared" si="28"/>
        <v>0</v>
      </c>
      <c r="N486" s="415"/>
      <c r="O486" s="415"/>
    </row>
    <row r="487" customFormat="1" ht="20" hidden="1" customHeight="1" spans="1:15">
      <c r="A487" s="418">
        <v>2070604</v>
      </c>
      <c r="B487" s="422" t="s">
        <v>477</v>
      </c>
      <c r="C487" s="464">
        <v>0</v>
      </c>
      <c r="D487" s="461"/>
      <c r="E487" s="464">
        <v>0</v>
      </c>
      <c r="F487" s="457"/>
      <c r="G487" s="458">
        <f t="shared" si="29"/>
        <v>0</v>
      </c>
      <c r="H487" s="457"/>
      <c r="I487" s="461"/>
      <c r="J487" s="459">
        <f t="shared" si="30"/>
        <v>0</v>
      </c>
      <c r="K487" s="460"/>
      <c r="M487">
        <f t="shared" si="28"/>
        <v>0</v>
      </c>
      <c r="N487" s="415"/>
      <c r="O487" s="415"/>
    </row>
    <row r="488" customFormat="1" ht="20" hidden="1" customHeight="1" spans="1:15">
      <c r="A488" s="418">
        <v>2070605</v>
      </c>
      <c r="B488" s="422" t="s">
        <v>478</v>
      </c>
      <c r="C488" s="464">
        <v>0</v>
      </c>
      <c r="D488" s="461"/>
      <c r="E488" s="464">
        <v>0</v>
      </c>
      <c r="F488" s="457"/>
      <c r="G488" s="458">
        <f t="shared" si="29"/>
        <v>0</v>
      </c>
      <c r="H488" s="457"/>
      <c r="I488" s="461"/>
      <c r="J488" s="459">
        <f t="shared" si="30"/>
        <v>0</v>
      </c>
      <c r="K488" s="460"/>
      <c r="M488">
        <f t="shared" si="28"/>
        <v>0</v>
      </c>
      <c r="N488" s="415"/>
      <c r="O488" s="415"/>
    </row>
    <row r="489" customFormat="1" ht="20" hidden="1" customHeight="1" spans="1:15">
      <c r="A489" s="418">
        <v>2070606</v>
      </c>
      <c r="B489" s="422" t="s">
        <v>479</v>
      </c>
      <c r="C489" s="464">
        <v>0</v>
      </c>
      <c r="D489" s="461"/>
      <c r="E489" s="464">
        <v>0</v>
      </c>
      <c r="F489" s="457"/>
      <c r="G489" s="458">
        <f t="shared" si="29"/>
        <v>0</v>
      </c>
      <c r="H489" s="457"/>
      <c r="I489" s="461"/>
      <c r="J489" s="459">
        <f t="shared" si="30"/>
        <v>0</v>
      </c>
      <c r="K489" s="460"/>
      <c r="M489">
        <f t="shared" si="28"/>
        <v>0</v>
      </c>
      <c r="N489" s="415"/>
      <c r="O489" s="415"/>
    </row>
    <row r="490" customFormat="1" ht="20" hidden="1" customHeight="1" spans="1:15">
      <c r="A490" s="418">
        <v>2070607</v>
      </c>
      <c r="B490" s="422" t="s">
        <v>480</v>
      </c>
      <c r="C490" s="464">
        <v>0</v>
      </c>
      <c r="D490" s="461"/>
      <c r="E490" s="464">
        <v>0</v>
      </c>
      <c r="F490" s="457"/>
      <c r="G490" s="458">
        <f t="shared" si="29"/>
        <v>0</v>
      </c>
      <c r="H490" s="457"/>
      <c r="I490" s="461"/>
      <c r="J490" s="459">
        <f t="shared" si="30"/>
        <v>0</v>
      </c>
      <c r="K490" s="460"/>
      <c r="M490">
        <f t="shared" si="28"/>
        <v>0</v>
      </c>
      <c r="N490" s="415"/>
      <c r="O490" s="415"/>
    </row>
    <row r="491" customFormat="1" ht="20" hidden="1" customHeight="1" spans="1:15">
      <c r="A491" s="418">
        <v>2070699</v>
      </c>
      <c r="B491" s="422" t="s">
        <v>481</v>
      </c>
      <c r="C491" s="464">
        <v>0</v>
      </c>
      <c r="D491" s="461"/>
      <c r="E491" s="464">
        <v>0</v>
      </c>
      <c r="F491" s="457"/>
      <c r="G491" s="458">
        <f t="shared" si="29"/>
        <v>0</v>
      </c>
      <c r="H491" s="457"/>
      <c r="I491" s="461"/>
      <c r="J491" s="459">
        <f t="shared" si="30"/>
        <v>0</v>
      </c>
      <c r="K491" s="460"/>
      <c r="M491">
        <f t="shared" si="28"/>
        <v>0</v>
      </c>
      <c r="N491" s="415"/>
      <c r="O491" s="415"/>
    </row>
    <row r="492" customFormat="1" ht="20" hidden="1" customHeight="1" spans="1:15">
      <c r="A492" s="416">
        <v>20708</v>
      </c>
      <c r="B492" s="427" t="s">
        <v>482</v>
      </c>
      <c r="C492" s="470">
        <f>SUM(C493:C499)</f>
        <v>344.571959</v>
      </c>
      <c r="D492" s="470">
        <f>SUM(D493:D499)</f>
        <v>544.655871</v>
      </c>
      <c r="E492" s="470">
        <f>SUM(E493:E499)</f>
        <v>477</v>
      </c>
      <c r="F492" s="457">
        <f>E492/D492*100</f>
        <v>87.5782352486567</v>
      </c>
      <c r="G492" s="458">
        <f t="shared" si="29"/>
        <v>132.428041</v>
      </c>
      <c r="H492" s="457">
        <f>G492/C492*100</f>
        <v>38.4326227195986</v>
      </c>
      <c r="I492" s="470">
        <f>SUM(I493:I499)</f>
        <v>438.677097</v>
      </c>
      <c r="J492" s="459">
        <f t="shared" si="30"/>
        <v>-105.978774</v>
      </c>
      <c r="K492" s="460">
        <f>J492/D492*100</f>
        <v>-19.4579329155896</v>
      </c>
      <c r="M492">
        <f t="shared" si="28"/>
        <v>0</v>
      </c>
      <c r="N492" s="415"/>
      <c r="O492" s="415"/>
    </row>
    <row r="493" customFormat="1" ht="20" hidden="1" customHeight="1" spans="1:15">
      <c r="A493" s="418">
        <v>2070801</v>
      </c>
      <c r="B493" s="422" t="s">
        <v>165</v>
      </c>
      <c r="C493" s="456">
        <v>0</v>
      </c>
      <c r="D493" s="461"/>
      <c r="E493" s="456">
        <v>0</v>
      </c>
      <c r="F493" s="457"/>
      <c r="G493" s="458">
        <f t="shared" si="29"/>
        <v>0</v>
      </c>
      <c r="H493" s="457"/>
      <c r="I493" s="461"/>
      <c r="J493" s="459">
        <f t="shared" si="30"/>
        <v>0</v>
      </c>
      <c r="K493" s="460"/>
      <c r="M493">
        <f t="shared" ref="M493:M556" si="31">N493+O493</f>
        <v>0</v>
      </c>
      <c r="N493" s="415"/>
      <c r="O493" s="415"/>
    </row>
    <row r="494" customFormat="1" ht="20" hidden="1" customHeight="1" spans="1:15">
      <c r="A494" s="418">
        <v>2070802</v>
      </c>
      <c r="B494" s="422" t="s">
        <v>166</v>
      </c>
      <c r="C494" s="464"/>
      <c r="D494" s="461"/>
      <c r="E494" s="464"/>
      <c r="F494" s="457"/>
      <c r="G494" s="458">
        <f t="shared" si="29"/>
        <v>0</v>
      </c>
      <c r="H494" s="457"/>
      <c r="I494" s="461"/>
      <c r="J494" s="459">
        <f t="shared" si="30"/>
        <v>0</v>
      </c>
      <c r="K494" s="460"/>
      <c r="M494">
        <f t="shared" si="31"/>
        <v>0</v>
      </c>
      <c r="N494" s="415"/>
      <c r="O494" s="415"/>
    </row>
    <row r="495" customFormat="1" ht="20" hidden="1" customHeight="1" spans="1:15">
      <c r="A495" s="418">
        <v>2070803</v>
      </c>
      <c r="B495" s="422" t="s">
        <v>167</v>
      </c>
      <c r="C495" s="464">
        <v>0</v>
      </c>
      <c r="D495" s="461"/>
      <c r="E495" s="464">
        <v>0</v>
      </c>
      <c r="F495" s="457"/>
      <c r="G495" s="458">
        <f t="shared" si="29"/>
        <v>0</v>
      </c>
      <c r="H495" s="457"/>
      <c r="I495" s="461"/>
      <c r="J495" s="459">
        <f t="shared" si="30"/>
        <v>0</v>
      </c>
      <c r="K495" s="460"/>
      <c r="M495">
        <f t="shared" si="31"/>
        <v>0</v>
      </c>
      <c r="N495" s="415"/>
      <c r="O495" s="415"/>
    </row>
    <row r="496" customFormat="1" ht="20" hidden="1" customHeight="1" spans="1:15">
      <c r="A496" s="418">
        <v>2070806</v>
      </c>
      <c r="B496" s="422" t="s">
        <v>483</v>
      </c>
      <c r="C496" s="464">
        <v>0</v>
      </c>
      <c r="D496" s="461"/>
      <c r="E496" s="464">
        <v>0</v>
      </c>
      <c r="F496" s="457"/>
      <c r="G496" s="458">
        <f t="shared" si="29"/>
        <v>0</v>
      </c>
      <c r="H496" s="457"/>
      <c r="I496" s="461"/>
      <c r="J496" s="459">
        <f t="shared" si="30"/>
        <v>0</v>
      </c>
      <c r="K496" s="460"/>
      <c r="M496">
        <f t="shared" si="31"/>
        <v>0</v>
      </c>
      <c r="N496" s="415"/>
      <c r="O496" s="415"/>
    </row>
    <row r="497" customFormat="1" ht="20" hidden="1" customHeight="1" spans="1:17">
      <c r="A497" s="418">
        <v>2070807</v>
      </c>
      <c r="B497" s="422" t="s">
        <v>484</v>
      </c>
      <c r="C497" s="464">
        <v>0</v>
      </c>
      <c r="D497" s="461"/>
      <c r="E497" s="464">
        <v>0</v>
      </c>
      <c r="F497" s="457"/>
      <c r="G497" s="458">
        <f t="shared" si="29"/>
        <v>0</v>
      </c>
      <c r="H497" s="457"/>
      <c r="I497" s="461"/>
      <c r="J497" s="459">
        <f t="shared" si="30"/>
        <v>0</v>
      </c>
      <c r="K497" s="460"/>
      <c r="M497">
        <f t="shared" si="31"/>
        <v>0</v>
      </c>
      <c r="N497" s="415"/>
      <c r="O497" s="415"/>
      <c r="Q497">
        <v>3</v>
      </c>
    </row>
    <row r="498" customFormat="1" ht="20" hidden="1" customHeight="1" spans="1:17">
      <c r="A498" s="418">
        <v>2070808</v>
      </c>
      <c r="B498" s="422" t="s">
        <v>485</v>
      </c>
      <c r="C498" s="464">
        <v>344.571959</v>
      </c>
      <c r="D498" s="466">
        <v>439.975871</v>
      </c>
      <c r="E498" s="464">
        <v>443</v>
      </c>
      <c r="F498" s="457">
        <f>E498/D498*100</f>
        <v>100.687339738229</v>
      </c>
      <c r="G498" s="458">
        <f t="shared" si="29"/>
        <v>98.428041</v>
      </c>
      <c r="H498" s="457">
        <f>G498/C498*100</f>
        <v>28.5653078926251</v>
      </c>
      <c r="I498" s="462">
        <v>438.677097</v>
      </c>
      <c r="J498" s="459">
        <f t="shared" si="30"/>
        <v>-1.29877399999998</v>
      </c>
      <c r="K498" s="460">
        <f>J498/D498*100</f>
        <v>-0.295192097022971</v>
      </c>
      <c r="M498">
        <f t="shared" si="31"/>
        <v>384</v>
      </c>
      <c r="N498" s="415">
        <v>384</v>
      </c>
      <c r="O498" s="415"/>
    </row>
    <row r="499" customFormat="1" ht="20" hidden="1" customHeight="1" spans="1:17">
      <c r="A499" s="418">
        <v>2070899</v>
      </c>
      <c r="B499" s="422" t="s">
        <v>486</v>
      </c>
      <c r="C499" s="464">
        <v>0</v>
      </c>
      <c r="D499" s="461">
        <v>104.68</v>
      </c>
      <c r="E499" s="464">
        <v>34</v>
      </c>
      <c r="F499" s="457">
        <f>E499/D499*100</f>
        <v>32.4799388612916</v>
      </c>
      <c r="G499" s="458">
        <f t="shared" si="29"/>
        <v>34</v>
      </c>
      <c r="H499" s="457"/>
      <c r="I499" s="461"/>
      <c r="J499" s="459">
        <f t="shared" si="30"/>
        <v>-104.68</v>
      </c>
      <c r="K499" s="460">
        <f>J499/D499*100</f>
        <v>-100</v>
      </c>
      <c r="M499">
        <f t="shared" si="31"/>
        <v>0</v>
      </c>
      <c r="N499" s="415"/>
      <c r="O499" s="415"/>
      <c r="P499">
        <v>105</v>
      </c>
    </row>
    <row r="500" customFormat="1" ht="20" hidden="1" customHeight="1" spans="1:17">
      <c r="A500" s="416">
        <v>20799</v>
      </c>
      <c r="B500" s="427" t="s">
        <v>487</v>
      </c>
      <c r="C500" s="470">
        <f>SUM(C501:C503)</f>
        <v>229.89411</v>
      </c>
      <c r="D500" s="470">
        <f>SUM(D501:D503)</f>
        <v>744.43094</v>
      </c>
      <c r="E500" s="470">
        <f>SUM(E501:E503)</f>
        <v>140</v>
      </c>
      <c r="F500" s="457">
        <f>E500/D500*100</f>
        <v>18.8063113013546</v>
      </c>
      <c r="G500" s="458">
        <f t="shared" si="29"/>
        <v>-89.89411</v>
      </c>
      <c r="H500" s="457">
        <f>G500/C500*100</f>
        <v>-39.1023980562181</v>
      </c>
      <c r="I500" s="470">
        <f>SUM(I501:I503)</f>
        <v>363.853</v>
      </c>
      <c r="J500" s="459">
        <f t="shared" si="30"/>
        <v>-380.57794</v>
      </c>
      <c r="K500" s="460">
        <f>J500/D500*100</f>
        <v>-51.1233372433446</v>
      </c>
      <c r="M500">
        <f t="shared" si="31"/>
        <v>0</v>
      </c>
      <c r="N500" s="415"/>
      <c r="O500" s="415"/>
    </row>
    <row r="501" customFormat="1" ht="20" hidden="1" customHeight="1" spans="1:17">
      <c r="A501" s="418">
        <v>2079902</v>
      </c>
      <c r="B501" s="239" t="s">
        <v>488</v>
      </c>
      <c r="C501" s="464">
        <v>0</v>
      </c>
      <c r="D501" s="461"/>
      <c r="E501" s="464">
        <v>0</v>
      </c>
      <c r="F501" s="457"/>
      <c r="G501" s="458">
        <f t="shared" si="29"/>
        <v>0</v>
      </c>
      <c r="H501" s="457"/>
      <c r="I501" s="461"/>
      <c r="J501" s="459">
        <f t="shared" si="30"/>
        <v>0</v>
      </c>
      <c r="K501" s="460"/>
      <c r="M501">
        <f t="shared" si="31"/>
        <v>0</v>
      </c>
      <c r="N501" s="415"/>
      <c r="O501" s="415"/>
    </row>
    <row r="502" customFormat="1" ht="20" hidden="1" customHeight="1" spans="1:17">
      <c r="A502" s="418">
        <v>2079903</v>
      </c>
      <c r="B502" s="239" t="s">
        <v>489</v>
      </c>
      <c r="C502" s="464">
        <v>0</v>
      </c>
      <c r="D502" s="461"/>
      <c r="E502" s="464">
        <v>0</v>
      </c>
      <c r="F502" s="457"/>
      <c r="G502" s="458">
        <f t="shared" si="29"/>
        <v>0</v>
      </c>
      <c r="H502" s="457"/>
      <c r="I502" s="461"/>
      <c r="J502" s="459">
        <f t="shared" si="30"/>
        <v>0</v>
      </c>
      <c r="K502" s="460"/>
      <c r="M502">
        <f t="shared" si="31"/>
        <v>0</v>
      </c>
      <c r="N502" s="415"/>
      <c r="O502" s="415"/>
    </row>
    <row r="503" customFormat="1" ht="20" hidden="1" customHeight="1" spans="1:17">
      <c r="A503" s="418">
        <v>2079999</v>
      </c>
      <c r="B503" s="239" t="s">
        <v>490</v>
      </c>
      <c r="C503" s="464">
        <v>229.89411</v>
      </c>
      <c r="D503" s="461">
        <f>388.36+356.07094</f>
        <v>744.43094</v>
      </c>
      <c r="E503" s="464">
        <v>140</v>
      </c>
      <c r="F503" s="457">
        <f>E503/D503*100</f>
        <v>18.8063113013546</v>
      </c>
      <c r="G503" s="458">
        <f t="shared" si="29"/>
        <v>-89.89411</v>
      </c>
      <c r="H503" s="457">
        <f>G503/C503*100</f>
        <v>-39.1023980562181</v>
      </c>
      <c r="I503" s="461">
        <v>363.853</v>
      </c>
      <c r="J503" s="459">
        <f t="shared" si="30"/>
        <v>-380.57794</v>
      </c>
      <c r="K503" s="460">
        <f>J503/D503*100</f>
        <v>-51.1233372433446</v>
      </c>
      <c r="M503">
        <f t="shared" si="31"/>
        <v>0</v>
      </c>
      <c r="N503" s="415"/>
      <c r="O503" s="415"/>
      <c r="P503">
        <v>309</v>
      </c>
      <c r="Q503">
        <v>262</v>
      </c>
    </row>
    <row r="504" s="278" customFormat="1" ht="20" customHeight="1" spans="1:17">
      <c r="A504" s="412">
        <v>208</v>
      </c>
      <c r="B504" s="413" t="s">
        <v>491</v>
      </c>
      <c r="C504" s="346">
        <f>SUM(C505:C627)/2</f>
        <v>52913.525966</v>
      </c>
      <c r="D504" s="346">
        <f>SUM(D505:D627)/2</f>
        <v>58985.659159</v>
      </c>
      <c r="E504" s="346">
        <f>SUM(E505:E627)/2</f>
        <v>68665.649753</v>
      </c>
      <c r="F504" s="414">
        <f>E504/D504*100</f>
        <v>116.410752599894</v>
      </c>
      <c r="G504" s="346">
        <f t="shared" si="29"/>
        <v>15752.123787</v>
      </c>
      <c r="H504" s="414">
        <f>G504/C504*100</f>
        <v>29.7695598609733</v>
      </c>
      <c r="I504" s="346">
        <f>SUM(I505:I627)/2</f>
        <v>64041.082692</v>
      </c>
      <c r="J504" s="307">
        <f t="shared" si="30"/>
        <v>5055.423533</v>
      </c>
      <c r="K504" s="306">
        <f>J504/D504*100</f>
        <v>8.57059767590755</v>
      </c>
      <c r="M504" s="278">
        <f t="shared" si="31"/>
        <v>0</v>
      </c>
      <c r="N504" s="415"/>
      <c r="O504" s="415"/>
    </row>
    <row r="505" customFormat="1" ht="20" hidden="1" customHeight="1" spans="1:17">
      <c r="A505" s="416" t="s">
        <v>492</v>
      </c>
      <c r="B505" s="427" t="s">
        <v>493</v>
      </c>
      <c r="C505" s="456">
        <f>SUM(C506:C519)</f>
        <v>2522.473294</v>
      </c>
      <c r="D505" s="456">
        <f>SUM(D506:D519)</f>
        <v>2611.977188</v>
      </c>
      <c r="E505" s="456">
        <f>SUM(E506:E519)</f>
        <v>4278</v>
      </c>
      <c r="F505" s="457">
        <f>E505/D505*100</f>
        <v>163.783972526792</v>
      </c>
      <c r="G505" s="458">
        <f t="shared" si="29"/>
        <v>1755.526706</v>
      </c>
      <c r="H505" s="457">
        <f>G505/C505*100</f>
        <v>69.5954526129465</v>
      </c>
      <c r="I505" s="456">
        <f>SUM(I506:I519)</f>
        <v>2855.099027</v>
      </c>
      <c r="J505" s="459">
        <f t="shared" si="30"/>
        <v>243.121839</v>
      </c>
      <c r="K505" s="460">
        <f>J505/D505*100</f>
        <v>9.30796180445051</v>
      </c>
      <c r="M505">
        <f t="shared" si="31"/>
        <v>0</v>
      </c>
      <c r="N505" s="415"/>
      <c r="O505" s="415"/>
    </row>
    <row r="506" customFormat="1" ht="20" hidden="1" customHeight="1" spans="1:17">
      <c r="A506" s="418">
        <v>2080101</v>
      </c>
      <c r="B506" s="239" t="s">
        <v>165</v>
      </c>
      <c r="C506" s="464">
        <v>304.800183</v>
      </c>
      <c r="D506" s="461">
        <v>623.079913</v>
      </c>
      <c r="E506" s="464">
        <v>2126</v>
      </c>
      <c r="F506" s="457">
        <f>E506/D506*100</f>
        <v>341.208239207031</v>
      </c>
      <c r="G506" s="458">
        <f t="shared" si="29"/>
        <v>1821.199817</v>
      </c>
      <c r="H506" s="457">
        <f>G506/C506*100</f>
        <v>597.506142901496</v>
      </c>
      <c r="I506" s="462">
        <v>340</v>
      </c>
      <c r="J506" s="459">
        <f t="shared" si="30"/>
        <v>-283.079913</v>
      </c>
      <c r="K506" s="460">
        <f>J506/D506*100</f>
        <v>-45.4323606159969</v>
      </c>
      <c r="M506">
        <f t="shared" si="31"/>
        <v>202</v>
      </c>
      <c r="N506" s="415">
        <v>202</v>
      </c>
      <c r="O506" s="415"/>
    </row>
    <row r="507" customFormat="1" ht="20" hidden="1" customHeight="1" spans="1:17">
      <c r="A507" s="418">
        <v>2080102</v>
      </c>
      <c r="B507" s="239" t="s">
        <v>166</v>
      </c>
      <c r="C507" s="464">
        <v>93.67925</v>
      </c>
      <c r="D507" s="461">
        <v>21.355</v>
      </c>
      <c r="E507" s="464">
        <v>26</v>
      </c>
      <c r="F507" s="457">
        <f>E507/D507*100</f>
        <v>121.751346288925</v>
      </c>
      <c r="G507" s="458">
        <f t="shared" si="29"/>
        <v>-67.67925</v>
      </c>
      <c r="H507" s="457">
        <f>G507/C507*100</f>
        <v>-72.2457214377784</v>
      </c>
      <c r="I507" s="461"/>
      <c r="J507" s="459">
        <f t="shared" si="30"/>
        <v>-21.355</v>
      </c>
      <c r="K507" s="460">
        <f>J507/D507*100</f>
        <v>-100</v>
      </c>
      <c r="M507">
        <f t="shared" si="31"/>
        <v>159</v>
      </c>
      <c r="N507" s="415">
        <v>159</v>
      </c>
      <c r="O507" s="415"/>
    </row>
    <row r="508" customFormat="1" ht="20" hidden="1" customHeight="1" spans="1:17">
      <c r="A508" s="418">
        <v>2080103</v>
      </c>
      <c r="B508" s="239" t="s">
        <v>167</v>
      </c>
      <c r="C508" s="464">
        <v>0</v>
      </c>
      <c r="D508" s="461"/>
      <c r="E508" s="464">
        <v>0</v>
      </c>
      <c r="F508" s="457"/>
      <c r="G508" s="458">
        <f t="shared" si="29"/>
        <v>0</v>
      </c>
      <c r="H508" s="457"/>
      <c r="I508" s="461"/>
      <c r="J508" s="459">
        <f t="shared" si="30"/>
        <v>0</v>
      </c>
      <c r="K508" s="460"/>
      <c r="M508">
        <f t="shared" si="31"/>
        <v>0</v>
      </c>
      <c r="N508" s="415"/>
      <c r="O508" s="415"/>
    </row>
    <row r="509" customFormat="1" ht="20" hidden="1" customHeight="1" spans="1:17">
      <c r="A509" s="418">
        <v>2080104</v>
      </c>
      <c r="B509" s="239" t="s">
        <v>494</v>
      </c>
      <c r="C509" s="464">
        <v>0</v>
      </c>
      <c r="D509" s="461"/>
      <c r="E509" s="464">
        <v>0</v>
      </c>
      <c r="F509" s="457"/>
      <c r="G509" s="458">
        <f t="shared" si="29"/>
        <v>0</v>
      </c>
      <c r="H509" s="457"/>
      <c r="I509" s="461"/>
      <c r="J509" s="459">
        <f t="shared" si="30"/>
        <v>0</v>
      </c>
      <c r="K509" s="460"/>
      <c r="M509">
        <f t="shared" si="31"/>
        <v>0</v>
      </c>
      <c r="N509" s="415"/>
      <c r="O509" s="415"/>
    </row>
    <row r="510" customFormat="1" ht="20" hidden="1" customHeight="1" spans="1:17">
      <c r="A510" s="418">
        <v>2080105</v>
      </c>
      <c r="B510" s="239" t="s">
        <v>495</v>
      </c>
      <c r="C510" s="464">
        <v>14.845844</v>
      </c>
      <c r="D510" s="461"/>
      <c r="E510" s="464"/>
      <c r="F510" s="457"/>
      <c r="G510" s="458">
        <f t="shared" si="29"/>
        <v>-14.845844</v>
      </c>
      <c r="H510" s="457">
        <f>G510/C510*100</f>
        <v>-100</v>
      </c>
      <c r="I510" s="461"/>
      <c r="J510" s="459">
        <f t="shared" si="30"/>
        <v>0</v>
      </c>
      <c r="K510" s="460"/>
      <c r="M510">
        <f t="shared" si="31"/>
        <v>12</v>
      </c>
      <c r="N510" s="415">
        <v>12</v>
      </c>
      <c r="O510" s="415"/>
    </row>
    <row r="511" customFormat="1" ht="20" hidden="1" customHeight="1" spans="1:17">
      <c r="A511" s="418">
        <v>2080106</v>
      </c>
      <c r="B511" s="239" t="s">
        <v>496</v>
      </c>
      <c r="C511" s="464">
        <v>0</v>
      </c>
      <c r="D511" s="461"/>
      <c r="E511" s="464">
        <v>0</v>
      </c>
      <c r="F511" s="457"/>
      <c r="G511" s="458">
        <f t="shared" si="29"/>
        <v>0</v>
      </c>
      <c r="H511" s="457"/>
      <c r="I511" s="461"/>
      <c r="J511" s="459">
        <f t="shared" si="30"/>
        <v>0</v>
      </c>
      <c r="K511" s="460"/>
      <c r="M511">
        <f t="shared" si="31"/>
        <v>0</v>
      </c>
      <c r="N511" s="415"/>
      <c r="O511" s="415"/>
    </row>
    <row r="512" customFormat="1" ht="20" hidden="1" customHeight="1" spans="1:17">
      <c r="A512" s="418">
        <v>2080107</v>
      </c>
      <c r="B512" s="239" t="s">
        <v>497</v>
      </c>
      <c r="C512" s="464">
        <v>0</v>
      </c>
      <c r="D512" s="461"/>
      <c r="E512" s="464">
        <v>0</v>
      </c>
      <c r="F512" s="457"/>
      <c r="G512" s="458">
        <f t="shared" si="29"/>
        <v>0</v>
      </c>
      <c r="H512" s="457"/>
      <c r="I512" s="461"/>
      <c r="J512" s="459">
        <f t="shared" si="30"/>
        <v>0</v>
      </c>
      <c r="K512" s="460"/>
      <c r="M512">
        <f t="shared" si="31"/>
        <v>0</v>
      </c>
      <c r="N512" s="415"/>
      <c r="O512" s="415"/>
    </row>
    <row r="513" customFormat="1" ht="20" hidden="1" customHeight="1" spans="1:17">
      <c r="A513" s="418">
        <v>2080108</v>
      </c>
      <c r="B513" s="239" t="s">
        <v>207</v>
      </c>
      <c r="C513" s="464">
        <v>0</v>
      </c>
      <c r="D513" s="461"/>
      <c r="E513" s="464">
        <v>0</v>
      </c>
      <c r="F513" s="457"/>
      <c r="G513" s="458">
        <f t="shared" si="29"/>
        <v>0</v>
      </c>
      <c r="H513" s="457"/>
      <c r="I513" s="461"/>
      <c r="J513" s="459">
        <f t="shared" si="30"/>
        <v>0</v>
      </c>
      <c r="K513" s="460"/>
      <c r="M513">
        <f t="shared" si="31"/>
        <v>0</v>
      </c>
      <c r="N513" s="415"/>
      <c r="O513" s="415"/>
    </row>
    <row r="514" customFormat="1" ht="20" hidden="1" customHeight="1" spans="1:17">
      <c r="A514" s="418">
        <v>2080109</v>
      </c>
      <c r="B514" s="239" t="s">
        <v>498</v>
      </c>
      <c r="C514" s="464">
        <v>609.874264</v>
      </c>
      <c r="D514" s="466">
        <v>368.345803</v>
      </c>
      <c r="E514" s="464">
        <v>350</v>
      </c>
      <c r="F514" s="457">
        <f>E514/D514*100</f>
        <v>95.0194076189868</v>
      </c>
      <c r="G514" s="458">
        <f t="shared" si="29"/>
        <v>-259.874264</v>
      </c>
      <c r="H514" s="457">
        <f>G514/C514*100</f>
        <v>-42.6111215606239</v>
      </c>
      <c r="I514" s="462">
        <v>756.164996</v>
      </c>
      <c r="J514" s="459">
        <f t="shared" si="30"/>
        <v>387.819193</v>
      </c>
      <c r="K514" s="460">
        <f>J514/D514*100</f>
        <v>105.286714234667</v>
      </c>
      <c r="M514">
        <f t="shared" si="31"/>
        <v>661</v>
      </c>
      <c r="N514" s="415">
        <v>661</v>
      </c>
      <c r="O514" s="415"/>
    </row>
    <row r="515" customFormat="1" ht="20" hidden="1" customHeight="1" spans="1:17">
      <c r="A515" s="418">
        <v>2080110</v>
      </c>
      <c r="B515" s="239" t="s">
        <v>499</v>
      </c>
      <c r="C515" s="464">
        <v>0</v>
      </c>
      <c r="D515" s="461"/>
      <c r="E515" s="464">
        <v>0</v>
      </c>
      <c r="F515" s="457"/>
      <c r="G515" s="458">
        <f t="shared" si="29"/>
        <v>0</v>
      </c>
      <c r="H515" s="457"/>
      <c r="I515" s="461"/>
      <c r="J515" s="459">
        <f t="shared" si="30"/>
        <v>0</v>
      </c>
      <c r="K515" s="460"/>
      <c r="M515">
        <f t="shared" si="31"/>
        <v>0</v>
      </c>
      <c r="N515" s="415"/>
      <c r="O515" s="415"/>
    </row>
    <row r="516" customFormat="1" ht="20" hidden="1" customHeight="1" spans="1:17">
      <c r="A516" s="418">
        <v>2080111</v>
      </c>
      <c r="B516" s="430" t="s">
        <v>500</v>
      </c>
      <c r="C516" s="464">
        <v>76.462308</v>
      </c>
      <c r="D516" s="466">
        <v>70.382114</v>
      </c>
      <c r="E516" s="464">
        <v>75</v>
      </c>
      <c r="F516" s="457">
        <f>E516/D516*100</f>
        <v>106.561164104846</v>
      </c>
      <c r="G516" s="458">
        <f t="shared" si="29"/>
        <v>-1.46230799999999</v>
      </c>
      <c r="H516" s="457">
        <f>G516/C516*100</f>
        <v>-1.91245600381301</v>
      </c>
      <c r="I516" s="462">
        <v>68.104066</v>
      </c>
      <c r="J516" s="459">
        <f t="shared" si="30"/>
        <v>-2.278048</v>
      </c>
      <c r="K516" s="460">
        <f>J516/D516*100</f>
        <v>-3.23668595688956</v>
      </c>
      <c r="M516">
        <f t="shared" si="31"/>
        <v>63</v>
      </c>
      <c r="N516" s="415">
        <v>63</v>
      </c>
      <c r="O516" s="415"/>
    </row>
    <row r="517" customFormat="1" ht="20" hidden="1" customHeight="1" spans="1:17">
      <c r="A517" s="418">
        <v>2080112</v>
      </c>
      <c r="B517" s="430" t="s">
        <v>501</v>
      </c>
      <c r="C517" s="464">
        <v>37.153768</v>
      </c>
      <c r="D517" s="466">
        <v>49.557226</v>
      </c>
      <c r="E517" s="464">
        <v>54</v>
      </c>
      <c r="F517" s="457">
        <f>E517/D517*100</f>
        <v>108.964936818699</v>
      </c>
      <c r="G517" s="458">
        <f t="shared" si="29"/>
        <v>16.846232</v>
      </c>
      <c r="H517" s="457">
        <f>G517/C517*100</f>
        <v>45.3419206364211</v>
      </c>
      <c r="I517" s="462">
        <v>47.645361</v>
      </c>
      <c r="J517" s="459">
        <f t="shared" si="30"/>
        <v>-1.911865</v>
      </c>
      <c r="K517" s="460">
        <f>J517/D517*100</f>
        <v>-3.85789349872004</v>
      </c>
      <c r="M517">
        <f t="shared" si="31"/>
        <v>22</v>
      </c>
      <c r="N517" s="415">
        <v>22</v>
      </c>
      <c r="O517" s="415"/>
    </row>
    <row r="518" customFormat="1" ht="20" hidden="1" customHeight="1" spans="1:17">
      <c r="A518" s="418">
        <v>2080150</v>
      </c>
      <c r="B518" s="430" t="s">
        <v>174</v>
      </c>
      <c r="C518" s="464">
        <v>1311.248728</v>
      </c>
      <c r="D518" s="461">
        <v>1443.722378</v>
      </c>
      <c r="E518" s="464">
        <v>1475</v>
      </c>
      <c r="F518" s="457">
        <f>E518/D518*100</f>
        <v>102.166456825538</v>
      </c>
      <c r="G518" s="458">
        <f t="shared" si="29"/>
        <v>163.751272</v>
      </c>
      <c r="H518" s="457">
        <f>G518/C518*100</f>
        <v>12.4881930104721</v>
      </c>
      <c r="I518" s="461">
        <v>1581.66</v>
      </c>
      <c r="J518" s="459">
        <f t="shared" si="30"/>
        <v>137.937622</v>
      </c>
      <c r="K518" s="460">
        <f>J518/D518*100</f>
        <v>9.55430379842738</v>
      </c>
      <c r="M518">
        <f t="shared" si="31"/>
        <v>1247</v>
      </c>
      <c r="N518" s="415">
        <v>1247</v>
      </c>
      <c r="O518" s="415"/>
    </row>
    <row r="519" customFormat="1" ht="20" hidden="1" customHeight="1" spans="1:17">
      <c r="A519" s="418">
        <v>2080199</v>
      </c>
      <c r="B519" s="430" t="s">
        <v>502</v>
      </c>
      <c r="C519" s="464">
        <v>74.408949</v>
      </c>
      <c r="D519" s="466">
        <v>35.534754</v>
      </c>
      <c r="E519" s="464">
        <v>172</v>
      </c>
      <c r="F519" s="457">
        <f t="shared" ref="F519:F582" si="32">E519/D519*100</f>
        <v>484.033180587095</v>
      </c>
      <c r="G519" s="458">
        <f t="shared" ref="G519:G582" si="33">E519-C519</f>
        <v>97.591051</v>
      </c>
      <c r="H519" s="457">
        <f t="shared" ref="H519:H582" si="34">G519/C519*100</f>
        <v>131.154991854542</v>
      </c>
      <c r="I519" s="462">
        <f>34.244604+27.28</f>
        <v>61.524604</v>
      </c>
      <c r="J519" s="459">
        <f t="shared" ref="J519:J582" si="35">I519-D519</f>
        <v>25.98985</v>
      </c>
      <c r="K519" s="460">
        <f t="shared" ref="K519:K582" si="36">J519/D519*100</f>
        <v>73.1392427818693</v>
      </c>
      <c r="M519">
        <f t="shared" si="31"/>
        <v>26</v>
      </c>
      <c r="N519" s="415">
        <v>26</v>
      </c>
      <c r="O519" s="415"/>
      <c r="P519">
        <v>31</v>
      </c>
      <c r="Q519">
        <v>85</v>
      </c>
    </row>
    <row r="520" customFormat="1" ht="20" hidden="1" customHeight="1" spans="1:17">
      <c r="A520" s="416">
        <v>20802</v>
      </c>
      <c r="B520" s="427" t="s">
        <v>503</v>
      </c>
      <c r="C520" s="456">
        <f>SUM(C521:C527)</f>
        <v>299.982954</v>
      </c>
      <c r="D520" s="456">
        <f>SUM(D521:D527)</f>
        <v>252.114949</v>
      </c>
      <c r="E520" s="456">
        <f>SUM(E521:E527)</f>
        <v>287.649753</v>
      </c>
      <c r="F520" s="457">
        <f t="shared" si="32"/>
        <v>114.0946834533</v>
      </c>
      <c r="G520" s="458">
        <f t="shared" si="33"/>
        <v>-12.333201</v>
      </c>
      <c r="H520" s="457">
        <f t="shared" si="34"/>
        <v>-4.11130060410034</v>
      </c>
      <c r="I520" s="456">
        <f>SUM(I521:I527)</f>
        <v>245.150951</v>
      </c>
      <c r="J520" s="459">
        <f t="shared" si="35"/>
        <v>-6.963998</v>
      </c>
      <c r="K520" s="460">
        <f t="shared" si="36"/>
        <v>-2.76223128680878</v>
      </c>
      <c r="M520">
        <f t="shared" si="31"/>
        <v>0</v>
      </c>
      <c r="N520" s="415"/>
      <c r="O520" s="415"/>
    </row>
    <row r="521" customFormat="1" ht="20" hidden="1" customHeight="1" spans="1:17">
      <c r="A521" s="418">
        <v>2080201</v>
      </c>
      <c r="B521" s="239" t="s">
        <v>165</v>
      </c>
      <c r="C521" s="464">
        <v>126.313031</v>
      </c>
      <c r="D521" s="466">
        <v>117.509639</v>
      </c>
      <c r="E521" s="464">
        <v>115</v>
      </c>
      <c r="F521" s="457">
        <f t="shared" si="32"/>
        <v>97.8643122203788</v>
      </c>
      <c r="G521" s="458">
        <f t="shared" si="33"/>
        <v>-11.313031</v>
      </c>
      <c r="H521" s="457">
        <f t="shared" si="34"/>
        <v>-8.95634512958524</v>
      </c>
      <c r="I521" s="462">
        <v>109.084531</v>
      </c>
      <c r="J521" s="459">
        <f t="shared" si="35"/>
        <v>-8.42510800000001</v>
      </c>
      <c r="K521" s="460">
        <f t="shared" si="36"/>
        <v>-7.16971652002097</v>
      </c>
      <c r="M521">
        <f t="shared" si="31"/>
        <v>120</v>
      </c>
      <c r="N521" s="415">
        <v>120</v>
      </c>
      <c r="O521" s="415"/>
    </row>
    <row r="522" customFormat="1" ht="20" hidden="1" customHeight="1" spans="1:17">
      <c r="A522" s="418">
        <v>2080202</v>
      </c>
      <c r="B522" s="239" t="s">
        <v>166</v>
      </c>
      <c r="C522" s="464">
        <v>0.2</v>
      </c>
      <c r="D522" s="461"/>
      <c r="E522" s="464"/>
      <c r="F522" s="457"/>
      <c r="G522" s="458">
        <f t="shared" si="33"/>
        <v>-0.2</v>
      </c>
      <c r="H522" s="457">
        <f t="shared" si="34"/>
        <v>-100</v>
      </c>
      <c r="I522" s="462">
        <v>1.5</v>
      </c>
      <c r="J522" s="459">
        <f t="shared" si="35"/>
        <v>1.5</v>
      </c>
      <c r="K522" s="460"/>
      <c r="M522">
        <f t="shared" si="31"/>
        <v>0</v>
      </c>
      <c r="N522" s="415"/>
      <c r="O522" s="415"/>
    </row>
    <row r="523" customFormat="1" ht="20" hidden="1" customHeight="1" spans="1:17">
      <c r="A523" s="418">
        <v>2080203</v>
      </c>
      <c r="B523" s="239" t="s">
        <v>167</v>
      </c>
      <c r="C523" s="464">
        <v>0</v>
      </c>
      <c r="D523" s="461"/>
      <c r="E523" s="464">
        <v>0</v>
      </c>
      <c r="F523" s="457"/>
      <c r="G523" s="458">
        <f t="shared" si="33"/>
        <v>0</v>
      </c>
      <c r="H523" s="457"/>
      <c r="I523" s="461"/>
      <c r="J523" s="459">
        <f t="shared" si="35"/>
        <v>0</v>
      </c>
      <c r="K523" s="460"/>
      <c r="M523">
        <f t="shared" si="31"/>
        <v>0</v>
      </c>
      <c r="N523" s="415"/>
      <c r="O523" s="415"/>
    </row>
    <row r="524" customFormat="1" ht="20" hidden="1" customHeight="1" spans="1:17">
      <c r="A524" s="418">
        <v>2080206</v>
      </c>
      <c r="B524" s="239" t="s">
        <v>504</v>
      </c>
      <c r="C524" s="464">
        <v>0</v>
      </c>
      <c r="D524" s="461"/>
      <c r="E524" s="464">
        <v>0</v>
      </c>
      <c r="F524" s="457"/>
      <c r="G524" s="458">
        <f t="shared" si="33"/>
        <v>0</v>
      </c>
      <c r="H524" s="457"/>
      <c r="I524" s="461"/>
      <c r="J524" s="459">
        <f t="shared" si="35"/>
        <v>0</v>
      </c>
      <c r="K524" s="460"/>
      <c r="M524">
        <f t="shared" si="31"/>
        <v>0</v>
      </c>
      <c r="N524" s="415"/>
      <c r="O524" s="415"/>
    </row>
    <row r="525" customFormat="1" ht="20" hidden="1" customHeight="1" spans="1:17">
      <c r="A525" s="418">
        <v>2080207</v>
      </c>
      <c r="B525" s="239" t="s">
        <v>505</v>
      </c>
      <c r="C525" s="464">
        <v>16.649753</v>
      </c>
      <c r="D525" s="461">
        <v>12.249331</v>
      </c>
      <c r="E525" s="464">
        <v>16.649753</v>
      </c>
      <c r="F525" s="457">
        <f t="shared" si="32"/>
        <v>135.923774122848</v>
      </c>
      <c r="G525" s="458">
        <f t="shared" si="33"/>
        <v>0</v>
      </c>
      <c r="H525" s="457">
        <f t="shared" si="34"/>
        <v>0</v>
      </c>
      <c r="I525" s="462">
        <v>18.56642</v>
      </c>
      <c r="J525" s="459">
        <f t="shared" si="35"/>
        <v>6.317089</v>
      </c>
      <c r="K525" s="460">
        <f t="shared" si="36"/>
        <v>51.570889871455</v>
      </c>
      <c r="M525">
        <f t="shared" si="31"/>
        <v>18</v>
      </c>
      <c r="N525" s="415">
        <v>18</v>
      </c>
      <c r="O525" s="415"/>
    </row>
    <row r="526" customFormat="1" ht="20" hidden="1" customHeight="1" spans="1:17">
      <c r="A526" s="418">
        <v>2080208</v>
      </c>
      <c r="B526" s="239" t="s">
        <v>506</v>
      </c>
      <c r="C526" s="464">
        <v>20.689473</v>
      </c>
      <c r="D526" s="461"/>
      <c r="E526" s="464"/>
      <c r="F526" s="457"/>
      <c r="G526" s="458">
        <f t="shared" si="33"/>
        <v>-20.689473</v>
      </c>
      <c r="H526" s="457">
        <f t="shared" si="34"/>
        <v>-100</v>
      </c>
      <c r="I526" s="461"/>
      <c r="J526" s="459">
        <f t="shared" si="35"/>
        <v>0</v>
      </c>
      <c r="K526" s="460"/>
      <c r="M526">
        <f t="shared" si="31"/>
        <v>0</v>
      </c>
      <c r="N526" s="415"/>
      <c r="O526" s="415"/>
    </row>
    <row r="527" customFormat="1" ht="20" hidden="1" customHeight="1" spans="1:17">
      <c r="A527" s="418">
        <v>2080299</v>
      </c>
      <c r="B527" s="239" t="s">
        <v>507</v>
      </c>
      <c r="C527" s="464">
        <v>136.130697</v>
      </c>
      <c r="D527" s="461">
        <v>122.355979</v>
      </c>
      <c r="E527" s="464">
        <v>156</v>
      </c>
      <c r="F527" s="457">
        <f t="shared" si="32"/>
        <v>127.496834462009</v>
      </c>
      <c r="G527" s="458">
        <f t="shared" si="33"/>
        <v>19.869303</v>
      </c>
      <c r="H527" s="457">
        <f t="shared" si="34"/>
        <v>14.5957549897802</v>
      </c>
      <c r="I527" s="461">
        <v>116</v>
      </c>
      <c r="J527" s="459">
        <f t="shared" si="35"/>
        <v>-6.355979</v>
      </c>
      <c r="K527" s="460">
        <f t="shared" si="36"/>
        <v>-5.19466155389105</v>
      </c>
      <c r="M527">
        <f t="shared" si="31"/>
        <v>115</v>
      </c>
      <c r="N527" s="415">
        <v>115</v>
      </c>
      <c r="O527" s="415"/>
      <c r="P527">
        <v>90</v>
      </c>
      <c r="Q527">
        <v>1</v>
      </c>
    </row>
    <row r="528" customFormat="1" ht="20" hidden="1" customHeight="1" spans="1:17">
      <c r="A528" s="416">
        <v>20804</v>
      </c>
      <c r="B528" s="427" t="s">
        <v>508</v>
      </c>
      <c r="C528" s="456">
        <v>0</v>
      </c>
      <c r="D528" s="456"/>
      <c r="E528" s="456">
        <v>0</v>
      </c>
      <c r="F528" s="457"/>
      <c r="G528" s="458">
        <f t="shared" si="33"/>
        <v>0</v>
      </c>
      <c r="H528" s="457"/>
      <c r="I528" s="471"/>
      <c r="J528" s="459">
        <f t="shared" si="35"/>
        <v>0</v>
      </c>
      <c r="K528" s="460"/>
      <c r="M528">
        <f t="shared" si="31"/>
        <v>0</v>
      </c>
      <c r="N528" s="415"/>
      <c r="O528" s="415"/>
    </row>
    <row r="529" customFormat="1" ht="20" hidden="1" customHeight="1" spans="1:16">
      <c r="A529" s="418">
        <v>2080402</v>
      </c>
      <c r="B529" s="239" t="s">
        <v>509</v>
      </c>
      <c r="C529" s="464">
        <v>0</v>
      </c>
      <c r="D529" s="461"/>
      <c r="E529" s="464">
        <v>0</v>
      </c>
      <c r="F529" s="457"/>
      <c r="G529" s="458">
        <f t="shared" si="33"/>
        <v>0</v>
      </c>
      <c r="H529" s="457"/>
      <c r="I529" s="472"/>
      <c r="J529" s="459">
        <f t="shared" si="35"/>
        <v>0</v>
      </c>
      <c r="K529" s="460"/>
      <c r="M529">
        <f t="shared" si="31"/>
        <v>0</v>
      </c>
      <c r="N529" s="415"/>
      <c r="O529" s="415"/>
    </row>
    <row r="530" customFormat="1" ht="20" hidden="1" customHeight="1" spans="1:16">
      <c r="A530" s="416">
        <v>20805</v>
      </c>
      <c r="B530" s="427" t="s">
        <v>510</v>
      </c>
      <c r="C530" s="456">
        <f>SUM(C531:C538)</f>
        <v>26036.757832</v>
      </c>
      <c r="D530" s="456">
        <f>SUM(D531:D538)</f>
        <v>31292.502393</v>
      </c>
      <c r="E530" s="456">
        <f>SUM(E531:E538)</f>
        <v>31663</v>
      </c>
      <c r="F530" s="457">
        <f t="shared" si="32"/>
        <v>101.183982036166</v>
      </c>
      <c r="G530" s="458">
        <f t="shared" si="33"/>
        <v>5626.242168</v>
      </c>
      <c r="H530" s="457">
        <f t="shared" si="34"/>
        <v>21.608843175878</v>
      </c>
      <c r="I530" s="456">
        <f>SUM(I531:I538)</f>
        <v>29577.582113</v>
      </c>
      <c r="J530" s="459">
        <f t="shared" si="35"/>
        <v>-1714.92028</v>
      </c>
      <c r="K530" s="460">
        <f t="shared" si="36"/>
        <v>-5.48029128020014</v>
      </c>
      <c r="M530">
        <f t="shared" si="31"/>
        <v>0</v>
      </c>
      <c r="N530" s="415"/>
      <c r="O530" s="415"/>
    </row>
    <row r="531" customFormat="1" ht="20" hidden="1" customHeight="1" spans="1:16">
      <c r="A531" s="418">
        <v>2080501</v>
      </c>
      <c r="B531" s="239" t="s">
        <v>511</v>
      </c>
      <c r="C531" s="464">
        <v>1576.865197</v>
      </c>
      <c r="D531" s="461">
        <v>2112.861643</v>
      </c>
      <c r="E531" s="464">
        <v>1490</v>
      </c>
      <c r="F531" s="457">
        <f t="shared" si="32"/>
        <v>70.520471841421</v>
      </c>
      <c r="G531" s="458">
        <f t="shared" si="33"/>
        <v>-86.8651970000001</v>
      </c>
      <c r="H531" s="457">
        <f t="shared" si="34"/>
        <v>-5.50872688199739</v>
      </c>
      <c r="I531" s="473">
        <v>1057.27</v>
      </c>
      <c r="J531" s="459">
        <f t="shared" si="35"/>
        <v>-1055.591643</v>
      </c>
      <c r="K531" s="460">
        <f t="shared" si="36"/>
        <v>-49.9602823733026</v>
      </c>
      <c r="M531">
        <f t="shared" si="31"/>
        <v>1922</v>
      </c>
      <c r="N531" s="415">
        <v>1922</v>
      </c>
      <c r="O531" s="415"/>
    </row>
    <row r="532" customFormat="1" ht="20" hidden="1" customHeight="1" spans="1:16">
      <c r="A532" s="418">
        <v>2080502</v>
      </c>
      <c r="B532" s="239" t="s">
        <v>512</v>
      </c>
      <c r="C532" s="464">
        <v>2491.748066</v>
      </c>
      <c r="D532" s="461">
        <v>3736.563456</v>
      </c>
      <c r="E532" s="464">
        <v>1759</v>
      </c>
      <c r="F532" s="457">
        <f t="shared" si="32"/>
        <v>47.0753413052702</v>
      </c>
      <c r="G532" s="458">
        <f t="shared" si="33"/>
        <v>-732.748066</v>
      </c>
      <c r="H532" s="457">
        <f t="shared" si="34"/>
        <v>-29.406988451135</v>
      </c>
      <c r="I532" s="473">
        <v>2129.58</v>
      </c>
      <c r="J532" s="459">
        <f t="shared" si="35"/>
        <v>-1606.983456</v>
      </c>
      <c r="K532" s="460">
        <f t="shared" si="36"/>
        <v>-43.0069895753966</v>
      </c>
      <c r="M532">
        <f t="shared" si="31"/>
        <v>3286</v>
      </c>
      <c r="N532" s="415">
        <v>3286</v>
      </c>
      <c r="O532" s="415"/>
    </row>
    <row r="533" customFormat="1" ht="20" hidden="1" customHeight="1" spans="1:16">
      <c r="A533" s="418">
        <v>2080503</v>
      </c>
      <c r="B533" s="239" t="s">
        <v>513</v>
      </c>
      <c r="C533" s="464">
        <v>0</v>
      </c>
      <c r="D533" s="461"/>
      <c r="E533" s="464">
        <v>0</v>
      </c>
      <c r="F533" s="457"/>
      <c r="G533" s="458">
        <f t="shared" si="33"/>
        <v>0</v>
      </c>
      <c r="H533" s="457"/>
      <c r="I533" s="473"/>
      <c r="J533" s="459">
        <f t="shared" si="35"/>
        <v>0</v>
      </c>
      <c r="K533" s="460"/>
      <c r="M533">
        <f t="shared" si="31"/>
        <v>0</v>
      </c>
      <c r="N533" s="415"/>
      <c r="O533" s="415"/>
    </row>
    <row r="534" customFormat="1" ht="20" hidden="1" customHeight="1" spans="1:16">
      <c r="A534" s="418">
        <v>2080505</v>
      </c>
      <c r="B534" s="430" t="s">
        <v>514</v>
      </c>
      <c r="C534" s="464">
        <v>6009.368803</v>
      </c>
      <c r="D534" s="461">
        <v>9613.24756</v>
      </c>
      <c r="E534" s="464">
        <v>10118</v>
      </c>
      <c r="F534" s="457">
        <f t="shared" si="32"/>
        <v>105.25059233989</v>
      </c>
      <c r="G534" s="458">
        <f t="shared" si="33"/>
        <v>4108.631197</v>
      </c>
      <c r="H534" s="457">
        <f t="shared" si="34"/>
        <v>68.3704284374906</v>
      </c>
      <c r="I534" s="473">
        <v>10379.34</v>
      </c>
      <c r="J534" s="459">
        <f t="shared" si="35"/>
        <v>766.09244</v>
      </c>
      <c r="K534" s="460">
        <f t="shared" si="36"/>
        <v>7.96913254567222</v>
      </c>
      <c r="M534">
        <f t="shared" si="31"/>
        <v>11748</v>
      </c>
      <c r="N534" s="415">
        <v>11748</v>
      </c>
      <c r="O534" s="415"/>
    </row>
    <row r="535" customFormat="1" ht="20" hidden="1" customHeight="1" spans="1:16">
      <c r="A535" s="418">
        <v>2080506</v>
      </c>
      <c r="B535" s="430" t="s">
        <v>515</v>
      </c>
      <c r="C535" s="464">
        <v>6736.967166</v>
      </c>
      <c r="D535" s="461">
        <v>4801.829734</v>
      </c>
      <c r="E535" s="464">
        <v>5033</v>
      </c>
      <c r="F535" s="457">
        <f t="shared" si="32"/>
        <v>104.814212056774</v>
      </c>
      <c r="G535" s="458">
        <f t="shared" si="33"/>
        <v>-1703.967166</v>
      </c>
      <c r="H535" s="457">
        <f t="shared" si="34"/>
        <v>-25.2927930924103</v>
      </c>
      <c r="I535" s="473">
        <v>5489.35</v>
      </c>
      <c r="J535" s="459">
        <f t="shared" si="35"/>
        <v>687.520266</v>
      </c>
      <c r="K535" s="460">
        <f t="shared" si="36"/>
        <v>14.317880976327</v>
      </c>
      <c r="M535">
        <f t="shared" si="31"/>
        <v>5859</v>
      </c>
      <c r="N535" s="415">
        <v>5859</v>
      </c>
      <c r="O535" s="415"/>
    </row>
    <row r="536" customFormat="1" ht="32" hidden="1" customHeight="1" spans="1:16">
      <c r="A536" s="418">
        <v>2080507</v>
      </c>
      <c r="B536" s="430" t="s">
        <v>516</v>
      </c>
      <c r="C536" s="464">
        <v>9160</v>
      </c>
      <c r="D536" s="466">
        <f>8211+2817</f>
        <v>11028</v>
      </c>
      <c r="E536" s="464">
        <v>13263</v>
      </c>
      <c r="F536" s="457">
        <f t="shared" si="32"/>
        <v>120.266594124048</v>
      </c>
      <c r="G536" s="458">
        <f t="shared" si="33"/>
        <v>4103</v>
      </c>
      <c r="H536" s="457">
        <f t="shared" si="34"/>
        <v>44.792576419214</v>
      </c>
      <c r="I536" s="462">
        <f>4989.042113+3292+2241</f>
        <v>10522.042113</v>
      </c>
      <c r="J536" s="459">
        <f t="shared" si="35"/>
        <v>-505.957887</v>
      </c>
      <c r="K536" s="460">
        <f t="shared" si="36"/>
        <v>-4.58793876496192</v>
      </c>
      <c r="M536">
        <f t="shared" si="31"/>
        <v>6058</v>
      </c>
      <c r="N536" s="415">
        <v>6058</v>
      </c>
      <c r="O536" s="415"/>
      <c r="P536">
        <v>2817</v>
      </c>
    </row>
    <row r="537" customFormat="1" ht="20" hidden="1" customHeight="1" spans="1:16">
      <c r="A537" s="418">
        <v>2080508</v>
      </c>
      <c r="B537" s="239" t="s">
        <v>517</v>
      </c>
      <c r="C537" s="464">
        <v>0</v>
      </c>
      <c r="D537" s="461"/>
      <c r="E537" s="464">
        <v>0</v>
      </c>
      <c r="F537" s="457"/>
      <c r="G537" s="458">
        <f t="shared" si="33"/>
        <v>0</v>
      </c>
      <c r="H537" s="457"/>
      <c r="I537" s="461"/>
      <c r="J537" s="459">
        <f t="shared" si="35"/>
        <v>0</v>
      </c>
      <c r="K537" s="460"/>
      <c r="M537">
        <f t="shared" si="31"/>
        <v>4</v>
      </c>
      <c r="N537" s="415">
        <v>4</v>
      </c>
      <c r="O537" s="415"/>
    </row>
    <row r="538" customFormat="1" ht="20" hidden="1" customHeight="1" spans="1:16">
      <c r="A538" s="418">
        <v>2080599</v>
      </c>
      <c r="B538" s="239" t="s">
        <v>518</v>
      </c>
      <c r="C538" s="464">
        <v>61.8086</v>
      </c>
      <c r="D538" s="461"/>
      <c r="E538" s="464"/>
      <c r="F538" s="457"/>
      <c r="G538" s="458">
        <f t="shared" si="33"/>
        <v>-61.8086</v>
      </c>
      <c r="H538" s="457">
        <f t="shared" si="34"/>
        <v>-100</v>
      </c>
      <c r="I538" s="461"/>
      <c r="J538" s="459">
        <f t="shared" si="35"/>
        <v>0</v>
      </c>
      <c r="K538" s="460"/>
      <c r="M538">
        <f t="shared" si="31"/>
        <v>12</v>
      </c>
      <c r="N538" s="415">
        <v>12</v>
      </c>
      <c r="O538" s="415"/>
    </row>
    <row r="539" customFormat="1" ht="20" hidden="1" customHeight="1" spans="1:16">
      <c r="A539" s="416">
        <v>20806</v>
      </c>
      <c r="B539" s="427" t="s">
        <v>519</v>
      </c>
      <c r="C539" s="456">
        <v>0</v>
      </c>
      <c r="D539" s="456"/>
      <c r="E539" s="456">
        <v>0</v>
      </c>
      <c r="F539" s="457"/>
      <c r="G539" s="458">
        <f t="shared" si="33"/>
        <v>0</v>
      </c>
      <c r="H539" s="457"/>
      <c r="I539" s="456"/>
      <c r="J539" s="459">
        <f t="shared" si="35"/>
        <v>0</v>
      </c>
      <c r="K539" s="460"/>
      <c r="M539">
        <f t="shared" si="31"/>
        <v>0</v>
      </c>
      <c r="N539" s="415"/>
      <c r="O539" s="415"/>
    </row>
    <row r="540" customFormat="1" ht="20" hidden="1" customHeight="1" spans="1:16">
      <c r="A540" s="418">
        <v>2080601</v>
      </c>
      <c r="B540" s="239" t="s">
        <v>520</v>
      </c>
      <c r="C540" s="461">
        <v>0</v>
      </c>
      <c r="D540" s="461"/>
      <c r="E540" s="461">
        <v>0</v>
      </c>
      <c r="F540" s="457"/>
      <c r="G540" s="458">
        <f t="shared" si="33"/>
        <v>0</v>
      </c>
      <c r="H540" s="457"/>
      <c r="I540" s="461"/>
      <c r="J540" s="459">
        <f t="shared" si="35"/>
        <v>0</v>
      </c>
      <c r="K540" s="460"/>
      <c r="M540">
        <f t="shared" si="31"/>
        <v>0</v>
      </c>
      <c r="N540" s="415"/>
      <c r="O540" s="415"/>
    </row>
    <row r="541" customFormat="1" ht="20" hidden="1" customHeight="1" spans="1:16">
      <c r="A541" s="418">
        <v>2080602</v>
      </c>
      <c r="B541" s="239" t="s">
        <v>521</v>
      </c>
      <c r="C541" s="461">
        <v>0</v>
      </c>
      <c r="D541" s="461"/>
      <c r="E541" s="461">
        <v>0</v>
      </c>
      <c r="F541" s="457"/>
      <c r="G541" s="458">
        <f t="shared" si="33"/>
        <v>0</v>
      </c>
      <c r="H541" s="457"/>
      <c r="I541" s="461"/>
      <c r="J541" s="459">
        <f t="shared" si="35"/>
        <v>0</v>
      </c>
      <c r="K541" s="460"/>
      <c r="M541">
        <f t="shared" si="31"/>
        <v>0</v>
      </c>
      <c r="N541" s="415"/>
      <c r="O541" s="415"/>
    </row>
    <row r="542" customFormat="1" ht="20" hidden="1" customHeight="1" spans="1:16">
      <c r="A542" s="418">
        <v>2080699</v>
      </c>
      <c r="B542" s="239" t="s">
        <v>522</v>
      </c>
      <c r="C542" s="461">
        <v>0</v>
      </c>
      <c r="D542" s="461"/>
      <c r="E542" s="461">
        <v>0</v>
      </c>
      <c r="F542" s="457"/>
      <c r="G542" s="458">
        <f t="shared" si="33"/>
        <v>0</v>
      </c>
      <c r="H542" s="457"/>
      <c r="I542" s="461"/>
      <c r="J542" s="459">
        <f t="shared" si="35"/>
        <v>0</v>
      </c>
      <c r="K542" s="460"/>
      <c r="M542">
        <f t="shared" si="31"/>
        <v>0</v>
      </c>
      <c r="N542" s="415"/>
      <c r="O542" s="415"/>
    </row>
    <row r="543" customFormat="1" ht="20" hidden="1" customHeight="1" spans="1:16">
      <c r="A543" s="416">
        <v>20807</v>
      </c>
      <c r="B543" s="427" t="s">
        <v>523</v>
      </c>
      <c r="C543" s="456">
        <f>SUM(C544:C552)</f>
        <v>1436.813338</v>
      </c>
      <c r="D543" s="456">
        <f>SUM(D544:D552)</f>
        <v>1014.536436</v>
      </c>
      <c r="E543" s="456">
        <f>SUM(E544:E552)</f>
        <v>1329</v>
      </c>
      <c r="F543" s="457">
        <f t="shared" si="32"/>
        <v>130.995788109871</v>
      </c>
      <c r="G543" s="458">
        <f t="shared" si="33"/>
        <v>-107.813338</v>
      </c>
      <c r="H543" s="457">
        <f t="shared" si="34"/>
        <v>-7.50364261999912</v>
      </c>
      <c r="I543" s="456">
        <f>SUM(I544:I552)</f>
        <v>2009.84</v>
      </c>
      <c r="J543" s="459">
        <f t="shared" si="35"/>
        <v>995.303564</v>
      </c>
      <c r="K543" s="460">
        <f t="shared" si="36"/>
        <v>98.1042699584227</v>
      </c>
      <c r="M543">
        <f t="shared" si="31"/>
        <v>0</v>
      </c>
      <c r="N543" s="415"/>
      <c r="O543" s="415"/>
    </row>
    <row r="544" customFormat="1" ht="20" hidden="1" customHeight="1" spans="1:16">
      <c r="A544" s="418">
        <v>2080701</v>
      </c>
      <c r="B544" s="239" t="s">
        <v>524</v>
      </c>
      <c r="C544" s="461">
        <v>0</v>
      </c>
      <c r="D544" s="461"/>
      <c r="E544" s="461">
        <v>0</v>
      </c>
      <c r="F544" s="457"/>
      <c r="G544" s="458">
        <f t="shared" si="33"/>
        <v>0</v>
      </c>
      <c r="H544" s="457"/>
      <c r="I544" s="461"/>
      <c r="J544" s="459">
        <f t="shared" si="35"/>
        <v>0</v>
      </c>
      <c r="K544" s="460"/>
      <c r="M544">
        <f t="shared" si="31"/>
        <v>0</v>
      </c>
      <c r="N544" s="415"/>
      <c r="O544" s="415"/>
    </row>
    <row r="545" customFormat="1" ht="20" hidden="1" customHeight="1" spans="1:17">
      <c r="A545" s="418">
        <v>2080702</v>
      </c>
      <c r="B545" s="239" t="s">
        <v>525</v>
      </c>
      <c r="C545" s="461">
        <v>29.115</v>
      </c>
      <c r="D545" s="461"/>
      <c r="E545" s="461">
        <v>56</v>
      </c>
      <c r="F545" s="457"/>
      <c r="G545" s="458">
        <f t="shared" si="33"/>
        <v>26.885</v>
      </c>
      <c r="H545" s="457">
        <f t="shared" si="34"/>
        <v>92.3407178430362</v>
      </c>
      <c r="I545" s="461"/>
      <c r="J545" s="459">
        <f t="shared" si="35"/>
        <v>0</v>
      </c>
      <c r="K545" s="460"/>
      <c r="M545">
        <f t="shared" si="31"/>
        <v>0</v>
      </c>
      <c r="N545" s="415"/>
      <c r="O545" s="415"/>
      <c r="P545">
        <v>110</v>
      </c>
    </row>
    <row r="546" customFormat="1" ht="20" hidden="1" customHeight="1" spans="1:17">
      <c r="A546" s="418">
        <v>2080704</v>
      </c>
      <c r="B546" s="239" t="s">
        <v>526</v>
      </c>
      <c r="C546" s="461">
        <v>630.085022</v>
      </c>
      <c r="D546" s="461"/>
      <c r="E546" s="461">
        <v>449</v>
      </c>
      <c r="F546" s="457"/>
      <c r="G546" s="458">
        <f t="shared" si="33"/>
        <v>-181.085022</v>
      </c>
      <c r="H546" s="457">
        <f t="shared" si="34"/>
        <v>-28.739775693319</v>
      </c>
      <c r="I546" s="461">
        <v>77.78</v>
      </c>
      <c r="J546" s="459">
        <f t="shared" si="35"/>
        <v>77.78</v>
      </c>
      <c r="K546" s="460"/>
      <c r="M546">
        <f t="shared" si="31"/>
        <v>0</v>
      </c>
      <c r="N546" s="415"/>
      <c r="O546" s="415"/>
      <c r="P546">
        <v>337</v>
      </c>
    </row>
    <row r="547" customFormat="1" ht="20" hidden="1" customHeight="1" spans="1:17">
      <c r="A547" s="418">
        <v>2080705</v>
      </c>
      <c r="B547" s="239" t="s">
        <v>527</v>
      </c>
      <c r="C547" s="461">
        <v>665.1046</v>
      </c>
      <c r="D547" s="461"/>
      <c r="E547" s="461">
        <v>627</v>
      </c>
      <c r="F547" s="457"/>
      <c r="G547" s="458">
        <f t="shared" si="33"/>
        <v>-38.1046</v>
      </c>
      <c r="H547" s="457">
        <f t="shared" si="34"/>
        <v>-5.72911388674804</v>
      </c>
      <c r="I547" s="461">
        <v>6.06</v>
      </c>
      <c r="J547" s="459">
        <f t="shared" si="35"/>
        <v>6.06</v>
      </c>
      <c r="K547" s="460"/>
      <c r="M547">
        <f t="shared" si="31"/>
        <v>0</v>
      </c>
      <c r="N547" s="415"/>
      <c r="O547" s="415"/>
      <c r="P547">
        <v>416</v>
      </c>
      <c r="Q547">
        <v>223</v>
      </c>
    </row>
    <row r="548" customFormat="1" ht="20" hidden="1" customHeight="1" spans="1:17">
      <c r="A548" s="418">
        <v>2080709</v>
      </c>
      <c r="B548" s="239" t="s">
        <v>528</v>
      </c>
      <c r="C548" s="461">
        <v>3.2373</v>
      </c>
      <c r="D548" s="461"/>
      <c r="E548" s="461">
        <v>10</v>
      </c>
      <c r="F548" s="457"/>
      <c r="G548" s="458">
        <f t="shared" si="33"/>
        <v>6.7627</v>
      </c>
      <c r="H548" s="457">
        <f t="shared" si="34"/>
        <v>208.899391468199</v>
      </c>
      <c r="I548" s="461"/>
      <c r="J548" s="459">
        <f t="shared" si="35"/>
        <v>0</v>
      </c>
      <c r="K548" s="460"/>
      <c r="M548">
        <f t="shared" si="31"/>
        <v>0</v>
      </c>
      <c r="N548" s="415"/>
      <c r="O548" s="415"/>
    </row>
    <row r="549" customFormat="1" ht="20" hidden="1" customHeight="1" spans="1:17">
      <c r="A549" s="418">
        <v>2080711</v>
      </c>
      <c r="B549" s="239" t="s">
        <v>529</v>
      </c>
      <c r="C549" s="461">
        <v>35.325</v>
      </c>
      <c r="D549" s="461"/>
      <c r="E549" s="461">
        <v>7</v>
      </c>
      <c r="F549" s="457"/>
      <c r="G549" s="458">
        <f t="shared" si="33"/>
        <v>-28.325</v>
      </c>
      <c r="H549" s="457">
        <f t="shared" si="34"/>
        <v>-80.1840056617127</v>
      </c>
      <c r="I549" s="461"/>
      <c r="J549" s="459">
        <f t="shared" si="35"/>
        <v>0</v>
      </c>
      <c r="K549" s="460"/>
      <c r="M549">
        <f t="shared" si="31"/>
        <v>0</v>
      </c>
      <c r="N549" s="415"/>
      <c r="O549" s="415"/>
      <c r="P549">
        <v>20</v>
      </c>
    </row>
    <row r="550" customFormat="1" ht="20" hidden="1" customHeight="1" spans="1:17">
      <c r="A550" s="418">
        <v>2080712</v>
      </c>
      <c r="B550" s="239" t="s">
        <v>530</v>
      </c>
      <c r="C550" s="461">
        <v>0</v>
      </c>
      <c r="D550" s="461"/>
      <c r="E550" s="461">
        <v>0</v>
      </c>
      <c r="F550" s="457"/>
      <c r="G550" s="458">
        <f t="shared" si="33"/>
        <v>0</v>
      </c>
      <c r="H550" s="457"/>
      <c r="I550" s="461"/>
      <c r="J550" s="459">
        <f t="shared" si="35"/>
        <v>0</v>
      </c>
      <c r="K550" s="460"/>
      <c r="M550">
        <f t="shared" si="31"/>
        <v>0</v>
      </c>
      <c r="N550" s="415"/>
      <c r="O550" s="415"/>
    </row>
    <row r="551" customFormat="1" ht="20" hidden="1" customHeight="1" spans="1:17">
      <c r="A551" s="418">
        <v>2080713</v>
      </c>
      <c r="B551" s="239" t="s">
        <v>531</v>
      </c>
      <c r="C551" s="461">
        <v>0</v>
      </c>
      <c r="D551" s="461"/>
      <c r="E551" s="461">
        <v>0</v>
      </c>
      <c r="F551" s="457"/>
      <c r="G551" s="458">
        <f t="shared" si="33"/>
        <v>0</v>
      </c>
      <c r="H551" s="457"/>
      <c r="I551" s="461"/>
      <c r="J551" s="459">
        <f t="shared" si="35"/>
        <v>0</v>
      </c>
      <c r="K551" s="460"/>
      <c r="M551">
        <f t="shared" si="31"/>
        <v>0</v>
      </c>
      <c r="N551" s="415"/>
      <c r="O551" s="415"/>
    </row>
    <row r="552" customFormat="1" ht="20" hidden="1" customHeight="1" spans="1:17">
      <c r="A552" s="418">
        <v>2080799</v>
      </c>
      <c r="B552" s="239" t="s">
        <v>532</v>
      </c>
      <c r="C552" s="461">
        <v>73.946416</v>
      </c>
      <c r="D552" s="461">
        <f>909+105.536436</f>
        <v>1014.536436</v>
      </c>
      <c r="E552" s="461">
        <v>180</v>
      </c>
      <c r="F552" s="457">
        <f t="shared" si="32"/>
        <v>17.7420931977252</v>
      </c>
      <c r="G552" s="458">
        <f t="shared" si="33"/>
        <v>106.053584</v>
      </c>
      <c r="H552" s="457">
        <f t="shared" si="34"/>
        <v>143.419505280689</v>
      </c>
      <c r="I552" s="461">
        <v>1926</v>
      </c>
      <c r="J552" s="459">
        <f t="shared" si="35"/>
        <v>911.463564</v>
      </c>
      <c r="K552" s="460">
        <f t="shared" si="36"/>
        <v>89.84039721566</v>
      </c>
      <c r="M552">
        <f t="shared" si="31"/>
        <v>0</v>
      </c>
      <c r="N552" s="415"/>
      <c r="O552" s="415"/>
      <c r="P552">
        <v>27</v>
      </c>
      <c r="Q552">
        <v>33</v>
      </c>
    </row>
    <row r="553" customFormat="1" ht="20" hidden="1" customHeight="1" spans="1:17">
      <c r="A553" s="416">
        <v>20808</v>
      </c>
      <c r="B553" s="427" t="s">
        <v>533</v>
      </c>
      <c r="C553" s="456">
        <f>SUM(C554:C561)</f>
        <v>3664.111146</v>
      </c>
      <c r="D553" s="456">
        <f>SUM(D554:D561)</f>
        <v>3046.089</v>
      </c>
      <c r="E553" s="456">
        <f>SUM(E554:E561)</f>
        <v>4032</v>
      </c>
      <c r="F553" s="457">
        <f t="shared" si="32"/>
        <v>132.366454164668</v>
      </c>
      <c r="G553" s="458">
        <f t="shared" si="33"/>
        <v>367.888854</v>
      </c>
      <c r="H553" s="457">
        <f t="shared" si="34"/>
        <v>10.0403300921047</v>
      </c>
      <c r="I553" s="456">
        <f>SUM(I554:I561)</f>
        <v>3101.948</v>
      </c>
      <c r="J553" s="459">
        <f t="shared" si="35"/>
        <v>55.8589999999999</v>
      </c>
      <c r="K553" s="460">
        <f t="shared" si="36"/>
        <v>1.83379408809132</v>
      </c>
      <c r="M553">
        <f t="shared" si="31"/>
        <v>0</v>
      </c>
      <c r="N553" s="415"/>
      <c r="O553" s="415"/>
    </row>
    <row r="554" customFormat="1" ht="20" hidden="1" customHeight="1" spans="1:17">
      <c r="A554" s="418">
        <v>2080801</v>
      </c>
      <c r="B554" s="239" t="s">
        <v>534</v>
      </c>
      <c r="C554" s="464">
        <v>302.382066</v>
      </c>
      <c r="D554" s="461"/>
      <c r="E554" s="464">
        <v>594</v>
      </c>
      <c r="F554" s="457"/>
      <c r="G554" s="458">
        <f t="shared" si="33"/>
        <v>291.617934</v>
      </c>
      <c r="H554" s="457">
        <f t="shared" si="34"/>
        <v>96.4402214250365</v>
      </c>
      <c r="I554" s="461">
        <f>28+7</f>
        <v>35</v>
      </c>
      <c r="J554" s="459">
        <f t="shared" si="35"/>
        <v>35</v>
      </c>
      <c r="K554" s="460"/>
      <c r="M554">
        <f t="shared" si="31"/>
        <v>0</v>
      </c>
      <c r="N554" s="415"/>
      <c r="O554" s="415"/>
      <c r="P554">
        <v>10</v>
      </c>
      <c r="Q554">
        <v>1</v>
      </c>
    </row>
    <row r="555" customFormat="1" ht="20" hidden="1" customHeight="1" spans="1:17">
      <c r="A555" s="418">
        <v>2080802</v>
      </c>
      <c r="B555" s="239" t="s">
        <v>535</v>
      </c>
      <c r="C555" s="464">
        <v>286.3356</v>
      </c>
      <c r="D555" s="466">
        <v>1.939</v>
      </c>
      <c r="E555" s="464">
        <v>312</v>
      </c>
      <c r="F555" s="457">
        <f t="shared" si="32"/>
        <v>16090.7684373388</v>
      </c>
      <c r="G555" s="458">
        <f t="shared" si="33"/>
        <v>25.6644</v>
      </c>
      <c r="H555" s="457">
        <f t="shared" si="34"/>
        <v>8.96304895374518</v>
      </c>
      <c r="I555" s="466">
        <f>16.58+200</f>
        <v>216.58</v>
      </c>
      <c r="J555" s="459">
        <f t="shared" si="35"/>
        <v>214.641</v>
      </c>
      <c r="K555" s="460">
        <f t="shared" si="36"/>
        <v>11069.6750902527</v>
      </c>
      <c r="M555">
        <f t="shared" si="31"/>
        <v>1</v>
      </c>
      <c r="N555" s="415">
        <v>1</v>
      </c>
      <c r="O555" s="415"/>
      <c r="P555">
        <v>80</v>
      </c>
      <c r="Q555">
        <v>5</v>
      </c>
    </row>
    <row r="556" customFormat="1" ht="20" hidden="1" customHeight="1" spans="1:17">
      <c r="A556" s="418">
        <v>2080803</v>
      </c>
      <c r="B556" s="239" t="s">
        <v>536</v>
      </c>
      <c r="C556" s="464">
        <v>2051.39535</v>
      </c>
      <c r="D556" s="466">
        <v>49</v>
      </c>
      <c r="E556" s="464">
        <v>2119</v>
      </c>
      <c r="F556" s="457">
        <f t="shared" si="32"/>
        <v>4324.48979591837</v>
      </c>
      <c r="G556" s="458">
        <f t="shared" si="33"/>
        <v>67.6046500000002</v>
      </c>
      <c r="H556" s="457">
        <f t="shared" si="34"/>
        <v>3.29554466426963</v>
      </c>
      <c r="I556" s="462">
        <f>45.308+1517.4+596.82</f>
        <v>2159.528</v>
      </c>
      <c r="J556" s="459">
        <f t="shared" si="35"/>
        <v>2110.528</v>
      </c>
      <c r="K556" s="460">
        <f t="shared" si="36"/>
        <v>4307.2</v>
      </c>
      <c r="M556">
        <f t="shared" si="31"/>
        <v>15</v>
      </c>
      <c r="N556" s="415">
        <v>15</v>
      </c>
      <c r="O556" s="415"/>
      <c r="P556">
        <v>2348</v>
      </c>
      <c r="Q556">
        <v>52</v>
      </c>
    </row>
    <row r="557" customFormat="1" ht="20" hidden="1" customHeight="1" spans="1:17">
      <c r="A557" s="418">
        <v>2080805</v>
      </c>
      <c r="B557" s="239" t="s">
        <v>537</v>
      </c>
      <c r="C557" s="464">
        <v>431.53933</v>
      </c>
      <c r="D557" s="466">
        <v>220</v>
      </c>
      <c r="E557" s="464">
        <v>468</v>
      </c>
      <c r="F557" s="457">
        <f t="shared" si="32"/>
        <v>212.727272727273</v>
      </c>
      <c r="G557" s="458">
        <f t="shared" si="33"/>
        <v>36.46067</v>
      </c>
      <c r="H557" s="457">
        <f t="shared" si="34"/>
        <v>8.44897960980752</v>
      </c>
      <c r="I557" s="462">
        <v>250</v>
      </c>
      <c r="J557" s="459">
        <f t="shared" si="35"/>
        <v>30</v>
      </c>
      <c r="K557" s="460">
        <f t="shared" si="36"/>
        <v>13.6363636363636</v>
      </c>
      <c r="M557">
        <f t="shared" ref="M557:M620" si="37">N557+O557</f>
        <v>270</v>
      </c>
      <c r="N557" s="415">
        <v>270</v>
      </c>
      <c r="O557" s="415"/>
      <c r="Q557">
        <v>307</v>
      </c>
    </row>
    <row r="558" customFormat="1" ht="20" hidden="1" customHeight="1" spans="1:17">
      <c r="A558" s="418">
        <v>2080806</v>
      </c>
      <c r="B558" s="239" t="s">
        <v>538</v>
      </c>
      <c r="C558" s="464">
        <v>265.4718</v>
      </c>
      <c r="D558" s="461"/>
      <c r="E558" s="464">
        <v>280</v>
      </c>
      <c r="F558" s="457"/>
      <c r="G558" s="458">
        <f t="shared" si="33"/>
        <v>14.5282</v>
      </c>
      <c r="H558" s="457">
        <f t="shared" si="34"/>
        <v>5.47259633603269</v>
      </c>
      <c r="I558" s="461">
        <f>192+96</f>
        <v>288</v>
      </c>
      <c r="J558" s="459">
        <f t="shared" si="35"/>
        <v>288</v>
      </c>
      <c r="K558" s="460"/>
      <c r="M558">
        <f t="shared" si="37"/>
        <v>0</v>
      </c>
      <c r="N558" s="415"/>
      <c r="O558" s="415"/>
      <c r="P558">
        <v>80</v>
      </c>
      <c r="Q558">
        <v>12</v>
      </c>
    </row>
    <row r="559" customFormat="1" ht="20" hidden="1" customHeight="1" spans="1:17">
      <c r="A559" s="418">
        <v>2080807</v>
      </c>
      <c r="B559" s="239" t="s">
        <v>539</v>
      </c>
      <c r="C559" s="464">
        <v>0</v>
      </c>
      <c r="D559" s="461"/>
      <c r="E559" s="464">
        <v>0</v>
      </c>
      <c r="F559" s="457"/>
      <c r="G559" s="458">
        <f t="shared" si="33"/>
        <v>0</v>
      </c>
      <c r="H559" s="457"/>
      <c r="I559" s="461"/>
      <c r="J559" s="459">
        <f t="shared" si="35"/>
        <v>0</v>
      </c>
      <c r="K559" s="460"/>
      <c r="M559">
        <f t="shared" si="37"/>
        <v>2</v>
      </c>
      <c r="N559" s="415">
        <v>2</v>
      </c>
      <c r="O559" s="415"/>
    </row>
    <row r="560" customFormat="1" ht="20" hidden="1" customHeight="1" spans="1:17">
      <c r="A560" s="418">
        <v>2080808</v>
      </c>
      <c r="B560" s="239" t="s">
        <v>540</v>
      </c>
      <c r="C560" s="464">
        <v>0</v>
      </c>
      <c r="D560" s="461"/>
      <c r="E560" s="464">
        <v>0</v>
      </c>
      <c r="F560" s="457"/>
      <c r="G560" s="458">
        <f t="shared" si="33"/>
        <v>0</v>
      </c>
      <c r="H560" s="457"/>
      <c r="I560" s="461"/>
      <c r="J560" s="459">
        <f t="shared" si="35"/>
        <v>0</v>
      </c>
      <c r="K560" s="460"/>
      <c r="M560">
        <f t="shared" si="37"/>
        <v>1</v>
      </c>
      <c r="N560" s="415">
        <v>1</v>
      </c>
      <c r="O560" s="415"/>
    </row>
    <row r="561" customFormat="1" ht="20" hidden="1" customHeight="1" spans="1:17">
      <c r="A561" s="418">
        <v>2080899</v>
      </c>
      <c r="B561" s="239" t="s">
        <v>541</v>
      </c>
      <c r="C561" s="464">
        <v>326.987</v>
      </c>
      <c r="D561" s="466">
        <f>98.36+2520.19+40.1+116.5</f>
        <v>2775.15</v>
      </c>
      <c r="E561" s="464">
        <v>259</v>
      </c>
      <c r="F561" s="457">
        <f t="shared" si="32"/>
        <v>9.33282885609787</v>
      </c>
      <c r="G561" s="458">
        <f t="shared" si="33"/>
        <v>-67.987</v>
      </c>
      <c r="H561" s="457">
        <f t="shared" si="34"/>
        <v>-20.791958090077</v>
      </c>
      <c r="I561" s="462">
        <f>107.06+10+35.78</f>
        <v>152.84</v>
      </c>
      <c r="J561" s="459">
        <f t="shared" si="35"/>
        <v>-2622.31</v>
      </c>
      <c r="K561" s="460">
        <f t="shared" si="36"/>
        <v>-94.4925499522548</v>
      </c>
      <c r="M561">
        <f t="shared" si="37"/>
        <v>0</v>
      </c>
      <c r="N561" s="415"/>
      <c r="O561" s="415"/>
      <c r="P561">
        <v>42</v>
      </c>
      <c r="Q561">
        <v>3</v>
      </c>
    </row>
    <row r="562" customFormat="1" ht="20" hidden="1" customHeight="1" spans="1:17">
      <c r="A562" s="416">
        <v>20809</v>
      </c>
      <c r="B562" s="427" t="s">
        <v>542</v>
      </c>
      <c r="C562" s="456">
        <f>SUM(C563:C568)</f>
        <v>242.900524</v>
      </c>
      <c r="D562" s="456">
        <f>SUM(D563:D568)</f>
        <v>164.53</v>
      </c>
      <c r="E562" s="456">
        <f>SUM(E563:E568)</f>
        <v>239</v>
      </c>
      <c r="F562" s="457">
        <f t="shared" si="32"/>
        <v>145.262262201422</v>
      </c>
      <c r="G562" s="458">
        <f t="shared" si="33"/>
        <v>-3.90052399999999</v>
      </c>
      <c r="H562" s="457">
        <f t="shared" si="34"/>
        <v>-1.60581127441289</v>
      </c>
      <c r="I562" s="456">
        <f>SUM(I563:I568)</f>
        <v>163.092</v>
      </c>
      <c r="J562" s="459">
        <f t="shared" si="35"/>
        <v>-1.43799999999999</v>
      </c>
      <c r="K562" s="460">
        <f t="shared" si="36"/>
        <v>-0.874004740776751</v>
      </c>
      <c r="M562">
        <f t="shared" si="37"/>
        <v>0</v>
      </c>
      <c r="N562" s="415"/>
      <c r="O562" s="415"/>
    </row>
    <row r="563" customFormat="1" ht="20" hidden="1" customHeight="1" spans="1:17">
      <c r="A563" s="418">
        <v>2080901</v>
      </c>
      <c r="B563" s="239" t="s">
        <v>543</v>
      </c>
      <c r="C563" s="464">
        <v>202.2435</v>
      </c>
      <c r="D563" s="461">
        <v>140</v>
      </c>
      <c r="E563" s="464">
        <v>155</v>
      </c>
      <c r="F563" s="457">
        <f t="shared" si="32"/>
        <v>110.714285714286</v>
      </c>
      <c r="G563" s="458">
        <f t="shared" si="33"/>
        <v>-47.2435</v>
      </c>
      <c r="H563" s="457">
        <f t="shared" si="34"/>
        <v>-23.3597124258629</v>
      </c>
      <c r="I563" s="462">
        <f>28+135</f>
        <v>163</v>
      </c>
      <c r="J563" s="459">
        <f t="shared" si="35"/>
        <v>23</v>
      </c>
      <c r="K563" s="460">
        <f t="shared" si="36"/>
        <v>16.4285714285714</v>
      </c>
      <c r="M563">
        <f t="shared" si="37"/>
        <v>30</v>
      </c>
      <c r="N563" s="415">
        <v>30</v>
      </c>
      <c r="O563" s="415"/>
      <c r="P563">
        <v>140</v>
      </c>
    </row>
    <row r="564" customFormat="1" ht="20" hidden="1" customHeight="1" spans="1:17">
      <c r="A564" s="418">
        <v>2080902</v>
      </c>
      <c r="B564" s="239" t="s">
        <v>544</v>
      </c>
      <c r="C564" s="464">
        <v>12.362824</v>
      </c>
      <c r="D564" s="461">
        <v>0.03</v>
      </c>
      <c r="E564" s="464">
        <v>11</v>
      </c>
      <c r="F564" s="457">
        <f t="shared" si="32"/>
        <v>36666.6666666667</v>
      </c>
      <c r="G564" s="458">
        <f t="shared" si="33"/>
        <v>-1.362824</v>
      </c>
      <c r="H564" s="457">
        <f t="shared" si="34"/>
        <v>-11.0235654895678</v>
      </c>
      <c r="I564" s="461">
        <v>0.092</v>
      </c>
      <c r="J564" s="459">
        <f t="shared" si="35"/>
        <v>0.062</v>
      </c>
      <c r="K564" s="460">
        <f t="shared" si="36"/>
        <v>206.666666666667</v>
      </c>
      <c r="M564">
        <f t="shared" si="37"/>
        <v>0</v>
      </c>
      <c r="N564" s="415"/>
      <c r="O564" s="415"/>
      <c r="Q564">
        <v>1</v>
      </c>
    </row>
    <row r="565" customFormat="1" ht="20" hidden="1" customHeight="1" spans="1:17">
      <c r="A565" s="418">
        <v>2080903</v>
      </c>
      <c r="B565" s="239" t="s">
        <v>545</v>
      </c>
      <c r="C565" s="464">
        <v>0</v>
      </c>
      <c r="D565" s="461"/>
      <c r="E565" s="464">
        <v>6</v>
      </c>
      <c r="F565" s="457"/>
      <c r="G565" s="458">
        <f t="shared" si="33"/>
        <v>6</v>
      </c>
      <c r="H565" s="457"/>
      <c r="I565" s="461"/>
      <c r="J565" s="459">
        <f t="shared" si="35"/>
        <v>0</v>
      </c>
      <c r="K565" s="460"/>
      <c r="M565">
        <f t="shared" si="37"/>
        <v>0</v>
      </c>
      <c r="N565" s="415"/>
      <c r="O565" s="415"/>
      <c r="Q565">
        <v>5</v>
      </c>
    </row>
    <row r="566" customFormat="1" ht="20" hidden="1" customHeight="1" spans="1:17">
      <c r="A566" s="418">
        <v>2080904</v>
      </c>
      <c r="B566" s="239" t="s">
        <v>546</v>
      </c>
      <c r="C566" s="464">
        <v>0</v>
      </c>
      <c r="D566" s="461">
        <v>22</v>
      </c>
      <c r="E566" s="464">
        <v>38</v>
      </c>
      <c r="F566" s="457">
        <f t="shared" si="32"/>
        <v>172.727272727273</v>
      </c>
      <c r="G566" s="458">
        <f t="shared" si="33"/>
        <v>38</v>
      </c>
      <c r="H566" s="457"/>
      <c r="I566" s="461"/>
      <c r="J566" s="459">
        <f t="shared" si="35"/>
        <v>-22</v>
      </c>
      <c r="K566" s="460">
        <f t="shared" si="36"/>
        <v>-100</v>
      </c>
      <c r="M566">
        <f t="shared" si="37"/>
        <v>0</v>
      </c>
      <c r="N566" s="415"/>
      <c r="O566" s="415"/>
    </row>
    <row r="567" customFormat="1" ht="20" hidden="1" customHeight="1" spans="1:17">
      <c r="A567" s="418">
        <v>2080905</v>
      </c>
      <c r="B567" s="239" t="s">
        <v>547</v>
      </c>
      <c r="C567" s="464">
        <v>28.2942</v>
      </c>
      <c r="D567" s="466">
        <v>2.5</v>
      </c>
      <c r="E567" s="464">
        <v>29</v>
      </c>
      <c r="F567" s="457">
        <f t="shared" si="32"/>
        <v>1160</v>
      </c>
      <c r="G567" s="458">
        <f t="shared" si="33"/>
        <v>0.7058</v>
      </c>
      <c r="H567" s="457">
        <f t="shared" si="34"/>
        <v>2.49450417400032</v>
      </c>
      <c r="I567" s="466"/>
      <c r="J567" s="459">
        <f t="shared" si="35"/>
        <v>-2.5</v>
      </c>
      <c r="K567" s="460">
        <f t="shared" si="36"/>
        <v>-100</v>
      </c>
      <c r="M567">
        <f t="shared" si="37"/>
        <v>0</v>
      </c>
      <c r="N567" s="415"/>
      <c r="O567" s="415"/>
      <c r="Q567">
        <v>2</v>
      </c>
    </row>
    <row r="568" customFormat="1" ht="20" hidden="1" customHeight="1" spans="1:17">
      <c r="A568" s="418">
        <v>2080999</v>
      </c>
      <c r="B568" s="239" t="s">
        <v>548</v>
      </c>
      <c r="C568" s="464">
        <v>0</v>
      </c>
      <c r="D568" s="461"/>
      <c r="E568" s="464">
        <v>0</v>
      </c>
      <c r="F568" s="457"/>
      <c r="G568" s="458">
        <f t="shared" si="33"/>
        <v>0</v>
      </c>
      <c r="H568" s="457"/>
      <c r="I568" s="461"/>
      <c r="J568" s="459">
        <f t="shared" si="35"/>
        <v>0</v>
      </c>
      <c r="K568" s="460"/>
      <c r="M568">
        <f t="shared" si="37"/>
        <v>0</v>
      </c>
      <c r="N568" s="415"/>
      <c r="O568" s="415"/>
    </row>
    <row r="569" customFormat="1" ht="20" hidden="1" customHeight="1" spans="1:17">
      <c r="A569" s="416">
        <v>20810</v>
      </c>
      <c r="B569" s="427" t="s">
        <v>549</v>
      </c>
      <c r="C569" s="456">
        <f>SUM(C570:C576)</f>
        <v>1154.53861</v>
      </c>
      <c r="D569" s="456">
        <f>SUM(D570:D576)</f>
        <v>964.458682</v>
      </c>
      <c r="E569" s="456">
        <f>SUM(E570:E576)</f>
        <v>1324</v>
      </c>
      <c r="F569" s="457">
        <f t="shared" si="32"/>
        <v>137.279079416281</v>
      </c>
      <c r="G569" s="458">
        <f t="shared" si="33"/>
        <v>169.46139</v>
      </c>
      <c r="H569" s="457">
        <f t="shared" si="34"/>
        <v>14.677845204328</v>
      </c>
      <c r="I569" s="456">
        <f>SUM(I570:I576)</f>
        <v>1205.102414</v>
      </c>
      <c r="J569" s="459">
        <f t="shared" si="35"/>
        <v>240.643732</v>
      </c>
      <c r="K569" s="460">
        <f t="shared" si="36"/>
        <v>24.951170692038</v>
      </c>
      <c r="M569">
        <f t="shared" si="37"/>
        <v>0</v>
      </c>
      <c r="N569" s="415"/>
      <c r="O569" s="415"/>
    </row>
    <row r="570" customFormat="1" ht="20" hidden="1" customHeight="1" spans="1:17">
      <c r="A570" s="418">
        <v>2081001</v>
      </c>
      <c r="B570" s="239" t="s">
        <v>550</v>
      </c>
      <c r="C570" s="464">
        <v>214.1167</v>
      </c>
      <c r="D570" s="466">
        <v>51.4</v>
      </c>
      <c r="E570" s="464">
        <v>224</v>
      </c>
      <c r="F570" s="457">
        <f t="shared" si="32"/>
        <v>435.79766536965</v>
      </c>
      <c r="G570" s="458">
        <f t="shared" si="33"/>
        <v>9.88329999999999</v>
      </c>
      <c r="H570" s="457">
        <f t="shared" si="34"/>
        <v>4.61584733932477</v>
      </c>
      <c r="I570" s="462">
        <f>49+50</f>
        <v>99</v>
      </c>
      <c r="J570" s="459">
        <f t="shared" si="35"/>
        <v>47.6</v>
      </c>
      <c r="K570" s="460">
        <f t="shared" si="36"/>
        <v>92.6070038910506</v>
      </c>
      <c r="M570">
        <f t="shared" si="37"/>
        <v>37</v>
      </c>
      <c r="N570" s="415">
        <v>37</v>
      </c>
      <c r="O570" s="415"/>
      <c r="P570">
        <v>115</v>
      </c>
    </row>
    <row r="571" customFormat="1" ht="20" hidden="1" customHeight="1" spans="1:17">
      <c r="A571" s="418">
        <v>2081002</v>
      </c>
      <c r="B571" s="239" t="s">
        <v>551</v>
      </c>
      <c r="C571" s="464">
        <v>779.7083</v>
      </c>
      <c r="D571" s="466">
        <v>800</v>
      </c>
      <c r="E571" s="464">
        <v>925</v>
      </c>
      <c r="F571" s="457">
        <f t="shared" si="32"/>
        <v>115.625</v>
      </c>
      <c r="G571" s="458">
        <f t="shared" si="33"/>
        <v>145.2917</v>
      </c>
      <c r="H571" s="457">
        <f t="shared" si="34"/>
        <v>18.634109704873</v>
      </c>
      <c r="I571" s="462">
        <f>816+100</f>
        <v>916</v>
      </c>
      <c r="J571" s="459">
        <f t="shared" si="35"/>
        <v>116</v>
      </c>
      <c r="K571" s="460">
        <f t="shared" si="36"/>
        <v>14.5</v>
      </c>
      <c r="M571">
        <f t="shared" si="37"/>
        <v>797</v>
      </c>
      <c r="N571" s="415">
        <v>797</v>
      </c>
      <c r="O571" s="415"/>
      <c r="Q571">
        <v>35</v>
      </c>
    </row>
    <row r="572" customFormat="1" ht="20" hidden="1" customHeight="1" spans="1:17">
      <c r="A572" s="418">
        <v>2081003</v>
      </c>
      <c r="B572" s="239" t="s">
        <v>552</v>
      </c>
      <c r="C572" s="464">
        <v>0</v>
      </c>
      <c r="D572" s="461"/>
      <c r="E572" s="464">
        <v>0</v>
      </c>
      <c r="F572" s="457"/>
      <c r="G572" s="458">
        <f t="shared" si="33"/>
        <v>0</v>
      </c>
      <c r="H572" s="457"/>
      <c r="I572" s="461"/>
      <c r="J572" s="459">
        <f t="shared" si="35"/>
        <v>0</v>
      </c>
      <c r="K572" s="460"/>
      <c r="M572">
        <f t="shared" si="37"/>
        <v>0</v>
      </c>
      <c r="N572" s="415"/>
      <c r="O572" s="415"/>
    </row>
    <row r="573" customFormat="1" ht="20" hidden="1" customHeight="1" spans="1:17">
      <c r="A573" s="418">
        <v>2081004</v>
      </c>
      <c r="B573" s="239" t="s">
        <v>553</v>
      </c>
      <c r="C573" s="464">
        <v>122.199798</v>
      </c>
      <c r="D573" s="466">
        <v>71.063381</v>
      </c>
      <c r="E573" s="464">
        <v>129</v>
      </c>
      <c r="F573" s="457">
        <f t="shared" si="32"/>
        <v>181.528092506603</v>
      </c>
      <c r="G573" s="458">
        <f t="shared" si="33"/>
        <v>6.800202</v>
      </c>
      <c r="H573" s="457">
        <f t="shared" si="34"/>
        <v>5.56482261942855</v>
      </c>
      <c r="I573" s="466">
        <v>145.74</v>
      </c>
      <c r="J573" s="459">
        <f t="shared" si="35"/>
        <v>74.676619</v>
      </c>
      <c r="K573" s="460">
        <f t="shared" si="36"/>
        <v>105.084528696995</v>
      </c>
      <c r="M573">
        <f t="shared" si="37"/>
        <v>102</v>
      </c>
      <c r="N573" s="415">
        <v>102</v>
      </c>
      <c r="O573" s="415"/>
    </row>
    <row r="574" customFormat="1" ht="20" hidden="1" customHeight="1" spans="1:17">
      <c r="A574" s="418">
        <v>2081005</v>
      </c>
      <c r="B574" s="239" t="s">
        <v>554</v>
      </c>
      <c r="C574" s="464">
        <v>38.513812</v>
      </c>
      <c r="D574" s="466">
        <v>40.995301</v>
      </c>
      <c r="E574" s="464">
        <v>45</v>
      </c>
      <c r="F574" s="457">
        <f t="shared" si="32"/>
        <v>109.768678122402</v>
      </c>
      <c r="G574" s="458">
        <f t="shared" si="33"/>
        <v>6.486188</v>
      </c>
      <c r="H574" s="457">
        <f t="shared" si="34"/>
        <v>16.8411997233616</v>
      </c>
      <c r="I574" s="462">
        <v>44.362414</v>
      </c>
      <c r="J574" s="459">
        <f t="shared" si="35"/>
        <v>3.367113</v>
      </c>
      <c r="K574" s="460">
        <f t="shared" si="36"/>
        <v>8.21341206886127</v>
      </c>
      <c r="M574">
        <f t="shared" si="37"/>
        <v>53</v>
      </c>
      <c r="N574" s="415">
        <v>53</v>
      </c>
      <c r="O574" s="415"/>
    </row>
    <row r="575" customFormat="1" ht="20" hidden="1" customHeight="1" spans="1:17">
      <c r="A575" s="418">
        <v>2081006</v>
      </c>
      <c r="B575" s="239" t="s">
        <v>555</v>
      </c>
      <c r="C575" s="464">
        <v>0</v>
      </c>
      <c r="D575" s="461"/>
      <c r="E575" s="464">
        <v>0</v>
      </c>
      <c r="F575" s="457"/>
      <c r="G575" s="458">
        <f t="shared" si="33"/>
        <v>0</v>
      </c>
      <c r="H575" s="457"/>
      <c r="I575" s="461"/>
      <c r="J575" s="459">
        <f t="shared" si="35"/>
        <v>0</v>
      </c>
      <c r="K575" s="460"/>
      <c r="M575">
        <f t="shared" si="37"/>
        <v>0</v>
      </c>
      <c r="N575" s="415"/>
      <c r="O575" s="415"/>
    </row>
    <row r="576" customFormat="1" ht="20" hidden="1" customHeight="1" spans="1:17">
      <c r="A576" s="418">
        <v>2081099</v>
      </c>
      <c r="B576" s="239" t="s">
        <v>556</v>
      </c>
      <c r="C576" s="464">
        <v>0</v>
      </c>
      <c r="D576" s="466">
        <v>1</v>
      </c>
      <c r="E576" s="464">
        <v>1</v>
      </c>
      <c r="F576" s="457">
        <f t="shared" si="32"/>
        <v>100</v>
      </c>
      <c r="G576" s="458">
        <f t="shared" si="33"/>
        <v>1</v>
      </c>
      <c r="H576" s="457"/>
      <c r="I576" s="466"/>
      <c r="J576" s="459">
        <f t="shared" si="35"/>
        <v>-1</v>
      </c>
      <c r="K576" s="460">
        <f t="shared" si="36"/>
        <v>-100</v>
      </c>
      <c r="M576">
        <f t="shared" si="37"/>
        <v>0</v>
      </c>
      <c r="N576" s="415"/>
      <c r="O576" s="415"/>
    </row>
    <row r="577" customFormat="1" ht="20" hidden="1" customHeight="1" spans="1:17">
      <c r="A577" s="416">
        <v>20811</v>
      </c>
      <c r="B577" s="427" t="s">
        <v>557</v>
      </c>
      <c r="C577" s="456">
        <f>SUM(C578:C585)</f>
        <v>1538.209946</v>
      </c>
      <c r="D577" s="456">
        <f>SUM(D578:D585)</f>
        <v>394.312194</v>
      </c>
      <c r="E577" s="456">
        <f>SUM(E578:E585)</f>
        <v>1650</v>
      </c>
      <c r="F577" s="457">
        <f t="shared" si="32"/>
        <v>418.450158302738</v>
      </c>
      <c r="G577" s="458">
        <f t="shared" si="33"/>
        <v>111.790054</v>
      </c>
      <c r="H577" s="457">
        <f t="shared" si="34"/>
        <v>7.26754200820907</v>
      </c>
      <c r="I577" s="456">
        <f>SUM(I578:I585)</f>
        <v>1473.046629</v>
      </c>
      <c r="J577" s="459">
        <f t="shared" si="35"/>
        <v>1078.734435</v>
      </c>
      <c r="K577" s="460">
        <f t="shared" si="36"/>
        <v>273.573693995373</v>
      </c>
      <c r="M577">
        <f t="shared" si="37"/>
        <v>0</v>
      </c>
      <c r="N577" s="415"/>
      <c r="O577" s="415"/>
    </row>
    <row r="578" customFormat="1" ht="20" hidden="1" customHeight="1" spans="1:17">
      <c r="A578" s="418">
        <v>2081101</v>
      </c>
      <c r="B578" s="239" t="s">
        <v>165</v>
      </c>
      <c r="C578" s="464">
        <v>79.723177</v>
      </c>
      <c r="D578" s="466">
        <v>76.104394</v>
      </c>
      <c r="E578" s="464">
        <v>71</v>
      </c>
      <c r="F578" s="457">
        <f t="shared" si="32"/>
        <v>93.2929050062471</v>
      </c>
      <c r="G578" s="458">
        <f t="shared" si="33"/>
        <v>-8.72317700000001</v>
      </c>
      <c r="H578" s="457">
        <f t="shared" si="34"/>
        <v>-10.941833138436</v>
      </c>
      <c r="I578" s="462">
        <v>50.782289</v>
      </c>
      <c r="J578" s="459">
        <f t="shared" si="35"/>
        <v>-25.322105</v>
      </c>
      <c r="K578" s="460">
        <f t="shared" si="36"/>
        <v>-33.272855441172</v>
      </c>
      <c r="M578">
        <f t="shared" si="37"/>
        <v>77</v>
      </c>
      <c r="N578" s="415">
        <v>77</v>
      </c>
      <c r="O578" s="415"/>
    </row>
    <row r="579" customFormat="1" ht="20" hidden="1" customHeight="1" spans="1:17">
      <c r="A579" s="418">
        <v>2081102</v>
      </c>
      <c r="B579" s="239" t="s">
        <v>166</v>
      </c>
      <c r="C579" s="464">
        <v>0</v>
      </c>
      <c r="D579" s="461"/>
      <c r="E579" s="464">
        <v>0</v>
      </c>
      <c r="F579" s="457"/>
      <c r="G579" s="458">
        <f t="shared" si="33"/>
        <v>0</v>
      </c>
      <c r="H579" s="457"/>
      <c r="I579" s="461"/>
      <c r="J579" s="459">
        <f t="shared" si="35"/>
        <v>0</v>
      </c>
      <c r="K579" s="460"/>
      <c r="M579">
        <f t="shared" si="37"/>
        <v>0</v>
      </c>
      <c r="N579" s="415"/>
      <c r="O579" s="415"/>
    </row>
    <row r="580" customFormat="1" ht="20" hidden="1" customHeight="1" spans="1:17">
      <c r="A580" s="418">
        <v>2081103</v>
      </c>
      <c r="B580" s="239" t="s">
        <v>167</v>
      </c>
      <c r="C580" s="464">
        <v>0</v>
      </c>
      <c r="D580" s="461"/>
      <c r="E580" s="464">
        <v>0</v>
      </c>
      <c r="F580" s="457"/>
      <c r="G580" s="458">
        <f t="shared" si="33"/>
        <v>0</v>
      </c>
      <c r="H580" s="457"/>
      <c r="I580" s="461"/>
      <c r="J580" s="459">
        <f t="shared" si="35"/>
        <v>0</v>
      </c>
      <c r="K580" s="460"/>
      <c r="M580">
        <f t="shared" si="37"/>
        <v>0</v>
      </c>
      <c r="N580" s="415"/>
      <c r="O580" s="415"/>
    </row>
    <row r="581" customFormat="1" ht="20" hidden="1" customHeight="1" spans="1:17">
      <c r="A581" s="418">
        <v>2081104</v>
      </c>
      <c r="B581" s="239" t="s">
        <v>558</v>
      </c>
      <c r="C581" s="464">
        <v>304.665667</v>
      </c>
      <c r="D581" s="461"/>
      <c r="E581" s="464">
        <v>350</v>
      </c>
      <c r="F581" s="457"/>
      <c r="G581" s="458">
        <f t="shared" si="33"/>
        <v>45.334333</v>
      </c>
      <c r="H581" s="457">
        <f t="shared" si="34"/>
        <v>14.8800268328233</v>
      </c>
      <c r="I581" s="461">
        <f>0.0071+58.449+8.7</f>
        <v>67.1561</v>
      </c>
      <c r="J581" s="459">
        <f t="shared" si="35"/>
        <v>67.1561</v>
      </c>
      <c r="K581" s="460"/>
      <c r="M581">
        <f t="shared" si="37"/>
        <v>1</v>
      </c>
      <c r="N581" s="415">
        <v>1</v>
      </c>
      <c r="O581" s="415"/>
      <c r="P581">
        <v>8</v>
      </c>
      <c r="Q581">
        <v>317</v>
      </c>
    </row>
    <row r="582" customFormat="1" ht="20" hidden="1" customHeight="1" spans="1:17">
      <c r="A582" s="418">
        <v>2081105</v>
      </c>
      <c r="B582" s="239" t="s">
        <v>559</v>
      </c>
      <c r="C582" s="464">
        <v>204.574219</v>
      </c>
      <c r="D582" s="466">
        <v>2.78</v>
      </c>
      <c r="E582" s="464">
        <v>193</v>
      </c>
      <c r="F582" s="457">
        <f t="shared" si="32"/>
        <v>6942.44604316547</v>
      </c>
      <c r="G582" s="458">
        <f t="shared" si="33"/>
        <v>-11.574219</v>
      </c>
      <c r="H582" s="457">
        <f t="shared" si="34"/>
        <v>-5.65771144407986</v>
      </c>
      <c r="I582" s="462">
        <f>44.684+66.05</f>
        <v>110.734</v>
      </c>
      <c r="J582" s="459">
        <f t="shared" si="35"/>
        <v>107.954</v>
      </c>
      <c r="K582" s="460">
        <f t="shared" si="36"/>
        <v>3883.23741007194</v>
      </c>
      <c r="M582">
        <f t="shared" si="37"/>
        <v>2</v>
      </c>
      <c r="N582" s="415">
        <v>2</v>
      </c>
      <c r="O582" s="415"/>
      <c r="P582">
        <v>103</v>
      </c>
      <c r="Q582">
        <v>47</v>
      </c>
    </row>
    <row r="583" customFormat="1" ht="20" hidden="1" customHeight="1" spans="1:17">
      <c r="A583" s="418">
        <v>2081106</v>
      </c>
      <c r="B583" s="239" t="s">
        <v>560</v>
      </c>
      <c r="C583" s="464">
        <v>0</v>
      </c>
      <c r="D583" s="461"/>
      <c r="E583" s="464">
        <v>0</v>
      </c>
      <c r="F583" s="457"/>
      <c r="G583" s="458">
        <f t="shared" ref="G583:G646" si="38">E583-C583</f>
        <v>0</v>
      </c>
      <c r="H583" s="457"/>
      <c r="I583" s="461"/>
      <c r="J583" s="459">
        <f t="shared" ref="J583:J646" si="39">I583-D583</f>
        <v>0</v>
      </c>
      <c r="K583" s="460"/>
      <c r="M583">
        <f t="shared" si="37"/>
        <v>0</v>
      </c>
      <c r="N583" s="415"/>
      <c r="O583" s="415"/>
    </row>
    <row r="584" s="278" customFormat="1" ht="20" hidden="1" customHeight="1" spans="1:17">
      <c r="A584" s="418">
        <v>2081107</v>
      </c>
      <c r="B584" s="433" t="s">
        <v>561</v>
      </c>
      <c r="C584" s="464">
        <v>789.848</v>
      </c>
      <c r="D584" s="466">
        <v>264</v>
      </c>
      <c r="E584" s="464">
        <v>922</v>
      </c>
      <c r="F584" s="457">
        <f t="shared" ref="F583:F646" si="40">E584/D584*100</f>
        <v>349.242424242424</v>
      </c>
      <c r="G584" s="458">
        <f t="shared" si="38"/>
        <v>132.152</v>
      </c>
      <c r="H584" s="457">
        <f t="shared" ref="H583:H646" si="41">G584/C584*100</f>
        <v>16.7313204565942</v>
      </c>
      <c r="I584" s="462">
        <f>340+800</f>
        <v>1140</v>
      </c>
      <c r="J584" s="459">
        <f t="shared" si="39"/>
        <v>876</v>
      </c>
      <c r="K584" s="460">
        <f t="shared" ref="K583:K646" si="42">J584/D584*100</f>
        <v>331.818181818182</v>
      </c>
      <c r="M584" s="278">
        <f t="shared" si="37"/>
        <v>150</v>
      </c>
      <c r="N584" s="415">
        <v>150</v>
      </c>
      <c r="O584" s="415"/>
      <c r="P584" s="278">
        <v>420</v>
      </c>
    </row>
    <row r="585" customFormat="1" ht="20" hidden="1" customHeight="1" spans="1:17">
      <c r="A585" s="418">
        <v>2081199</v>
      </c>
      <c r="B585" s="239" t="s">
        <v>562</v>
      </c>
      <c r="C585" s="464">
        <v>159.398883</v>
      </c>
      <c r="D585" s="466">
        <f>22.8138+28.614</f>
        <v>51.4278</v>
      </c>
      <c r="E585" s="464">
        <v>114</v>
      </c>
      <c r="F585" s="457">
        <f t="shared" si="40"/>
        <v>221.669991716542</v>
      </c>
      <c r="G585" s="458">
        <f t="shared" si="38"/>
        <v>-45.398883</v>
      </c>
      <c r="H585" s="457">
        <f t="shared" si="41"/>
        <v>-28.4813056061378</v>
      </c>
      <c r="I585" s="462">
        <f>80.41424+23.96</f>
        <v>104.37424</v>
      </c>
      <c r="J585" s="459">
        <f t="shared" si="39"/>
        <v>52.94644</v>
      </c>
      <c r="K585" s="460">
        <f t="shared" si="42"/>
        <v>102.952955405442</v>
      </c>
      <c r="M585">
        <f t="shared" si="37"/>
        <v>42</v>
      </c>
      <c r="N585" s="415">
        <v>42</v>
      </c>
      <c r="O585" s="415"/>
      <c r="P585">
        <v>35</v>
      </c>
    </row>
    <row r="586" customFormat="1" ht="20" hidden="1" customHeight="1" spans="1:17">
      <c r="A586" s="416">
        <v>20816</v>
      </c>
      <c r="B586" s="427" t="s">
        <v>563</v>
      </c>
      <c r="C586" s="470">
        <f>SUM(C587:C590)</f>
        <v>50.837738</v>
      </c>
      <c r="D586" s="470">
        <f>SUM(D587:D590)</f>
        <v>56.972279</v>
      </c>
      <c r="E586" s="470">
        <f>SUM(E587:E590)</f>
        <v>58</v>
      </c>
      <c r="F586" s="457">
        <f t="shared" si="40"/>
        <v>101.803896593289</v>
      </c>
      <c r="G586" s="458">
        <f t="shared" si="38"/>
        <v>7.162262</v>
      </c>
      <c r="H586" s="457">
        <f t="shared" si="41"/>
        <v>14.0884749828956</v>
      </c>
      <c r="I586" s="470">
        <f>SUM(I587:I590)</f>
        <v>55.149589</v>
      </c>
      <c r="J586" s="459">
        <f t="shared" si="39"/>
        <v>-1.82269</v>
      </c>
      <c r="K586" s="460">
        <f t="shared" si="42"/>
        <v>-3.19925766002796</v>
      </c>
      <c r="M586">
        <f t="shared" si="37"/>
        <v>0</v>
      </c>
      <c r="N586" s="415"/>
      <c r="O586" s="415"/>
    </row>
    <row r="587" customFormat="1" ht="20" hidden="1" customHeight="1" spans="1:17">
      <c r="A587" s="418">
        <v>2081601</v>
      </c>
      <c r="B587" s="239" t="s">
        <v>165</v>
      </c>
      <c r="C587" s="464">
        <v>50.837738</v>
      </c>
      <c r="D587" s="466">
        <v>56.172279</v>
      </c>
      <c r="E587" s="464">
        <v>57</v>
      </c>
      <c r="F587" s="457">
        <f t="shared" si="40"/>
        <v>101.473540000042</v>
      </c>
      <c r="G587" s="458">
        <f t="shared" si="38"/>
        <v>6.162262</v>
      </c>
      <c r="H587" s="457">
        <f t="shared" si="41"/>
        <v>12.1214323107767</v>
      </c>
      <c r="I587" s="462">
        <v>54.149589</v>
      </c>
      <c r="J587" s="459">
        <f t="shared" si="39"/>
        <v>-2.02269</v>
      </c>
      <c r="K587" s="460">
        <f t="shared" si="42"/>
        <v>-3.60086867759096</v>
      </c>
      <c r="M587">
        <f t="shared" si="37"/>
        <v>51</v>
      </c>
      <c r="N587" s="415">
        <v>51</v>
      </c>
      <c r="O587" s="415"/>
    </row>
    <row r="588" customFormat="1" ht="20" hidden="1" customHeight="1" spans="1:17">
      <c r="A588" s="418">
        <v>2081602</v>
      </c>
      <c r="B588" s="239" t="s">
        <v>166</v>
      </c>
      <c r="C588" s="464">
        <v>0</v>
      </c>
      <c r="D588" s="461"/>
      <c r="E588" s="464">
        <v>0</v>
      </c>
      <c r="F588" s="457"/>
      <c r="G588" s="458">
        <f t="shared" si="38"/>
        <v>0</v>
      </c>
      <c r="H588" s="457"/>
      <c r="I588" s="461"/>
      <c r="J588" s="459">
        <f t="shared" si="39"/>
        <v>0</v>
      </c>
      <c r="K588" s="460"/>
      <c r="M588">
        <f t="shared" si="37"/>
        <v>0</v>
      </c>
      <c r="N588" s="415"/>
      <c r="O588" s="415"/>
    </row>
    <row r="589" customFormat="1" ht="20" hidden="1" customHeight="1" spans="1:17">
      <c r="A589" s="418">
        <v>2081603</v>
      </c>
      <c r="B589" s="239" t="s">
        <v>167</v>
      </c>
      <c r="C589" s="464">
        <v>0</v>
      </c>
      <c r="D589" s="461"/>
      <c r="E589" s="464">
        <v>0</v>
      </c>
      <c r="F589" s="457"/>
      <c r="G589" s="458">
        <f t="shared" si="38"/>
        <v>0</v>
      </c>
      <c r="H589" s="457"/>
      <c r="I589" s="461"/>
      <c r="J589" s="459">
        <f t="shared" si="39"/>
        <v>0</v>
      </c>
      <c r="K589" s="460"/>
      <c r="M589">
        <f t="shared" si="37"/>
        <v>0</v>
      </c>
      <c r="N589" s="415"/>
      <c r="O589" s="415"/>
    </row>
    <row r="590" customFormat="1" ht="20" hidden="1" customHeight="1" spans="1:17">
      <c r="A590" s="418">
        <v>2081699</v>
      </c>
      <c r="B590" s="239" t="s">
        <v>564</v>
      </c>
      <c r="C590" s="464">
        <v>0</v>
      </c>
      <c r="D590" s="461">
        <v>0.8</v>
      </c>
      <c r="E590" s="464">
        <v>1</v>
      </c>
      <c r="F590" s="457">
        <f t="shared" si="40"/>
        <v>125</v>
      </c>
      <c r="G590" s="458">
        <f t="shared" si="38"/>
        <v>1</v>
      </c>
      <c r="H590" s="457"/>
      <c r="I590" s="461">
        <v>1</v>
      </c>
      <c r="J590" s="459">
        <f t="shared" si="39"/>
        <v>0.2</v>
      </c>
      <c r="K590" s="460">
        <f t="shared" si="42"/>
        <v>25</v>
      </c>
      <c r="M590">
        <f t="shared" si="37"/>
        <v>0</v>
      </c>
      <c r="N590" s="415"/>
      <c r="O590" s="415"/>
    </row>
    <row r="591" customFormat="1" ht="20" hidden="1" customHeight="1" spans="1:17">
      <c r="A591" s="416">
        <v>20819</v>
      </c>
      <c r="B591" s="427" t="s">
        <v>565</v>
      </c>
      <c r="C591" s="456">
        <f>SUM(C592:C593)</f>
        <v>4238.8033</v>
      </c>
      <c r="D591" s="456">
        <f>SUM(D592:D593)</f>
        <v>929.9814</v>
      </c>
      <c r="E591" s="456">
        <f>SUM(E592:E593)</f>
        <v>4259</v>
      </c>
      <c r="F591" s="457">
        <f t="shared" si="40"/>
        <v>457.966148570283</v>
      </c>
      <c r="G591" s="458">
        <f t="shared" si="38"/>
        <v>20.1967000000004</v>
      </c>
      <c r="H591" s="457">
        <f t="shared" si="41"/>
        <v>0.476471743805626</v>
      </c>
      <c r="I591" s="456">
        <f>SUM(I592:I593)</f>
        <v>1582</v>
      </c>
      <c r="J591" s="459">
        <f t="shared" si="39"/>
        <v>652.0186</v>
      </c>
      <c r="K591" s="460">
        <f t="shared" si="42"/>
        <v>70.1109291003024</v>
      </c>
      <c r="M591">
        <f t="shared" si="37"/>
        <v>0</v>
      </c>
      <c r="N591" s="415"/>
      <c r="O591" s="415"/>
    </row>
    <row r="592" s="278" customFormat="1" ht="20" hidden="1" customHeight="1" spans="1:17">
      <c r="A592" s="418">
        <v>2081901</v>
      </c>
      <c r="B592" s="422" t="s">
        <v>566</v>
      </c>
      <c r="C592" s="464">
        <v>767.486</v>
      </c>
      <c r="D592" s="466">
        <v>166</v>
      </c>
      <c r="E592" s="464">
        <v>779</v>
      </c>
      <c r="F592" s="457">
        <f t="shared" si="40"/>
        <v>469.277108433735</v>
      </c>
      <c r="G592" s="458">
        <f t="shared" si="38"/>
        <v>11.514</v>
      </c>
      <c r="H592" s="457">
        <f t="shared" si="41"/>
        <v>1.50022280536713</v>
      </c>
      <c r="I592" s="462">
        <f>162+100</f>
        <v>262</v>
      </c>
      <c r="J592" s="459">
        <f t="shared" si="39"/>
        <v>96</v>
      </c>
      <c r="K592" s="460">
        <f t="shared" si="42"/>
        <v>57.8313253012048</v>
      </c>
      <c r="M592" s="278">
        <f t="shared" si="37"/>
        <v>156</v>
      </c>
      <c r="N592" s="415">
        <v>156</v>
      </c>
      <c r="O592" s="415"/>
      <c r="P592" s="278">
        <v>425</v>
      </c>
    </row>
    <row r="593" s="278" customFormat="1" ht="20" hidden="1" customHeight="1" spans="1:17">
      <c r="A593" s="418">
        <v>2081902</v>
      </c>
      <c r="B593" s="422" t="s">
        <v>567</v>
      </c>
      <c r="C593" s="464">
        <v>3471.3173</v>
      </c>
      <c r="D593" s="466">
        <f>700+63.9814</f>
        <v>763.9814</v>
      </c>
      <c r="E593" s="464">
        <v>3480</v>
      </c>
      <c r="F593" s="457">
        <f t="shared" si="40"/>
        <v>455.508471803109</v>
      </c>
      <c r="G593" s="458">
        <f t="shared" si="38"/>
        <v>8.68269999999984</v>
      </c>
      <c r="H593" s="457">
        <f t="shared" si="41"/>
        <v>0.250126947484744</v>
      </c>
      <c r="I593" s="462">
        <f>720+600</f>
        <v>1320</v>
      </c>
      <c r="J593" s="459">
        <f t="shared" si="39"/>
        <v>556.0186</v>
      </c>
      <c r="K593" s="460">
        <f t="shared" si="42"/>
        <v>72.7790755115242</v>
      </c>
      <c r="M593" s="278">
        <f t="shared" si="37"/>
        <v>710</v>
      </c>
      <c r="N593" s="415">
        <v>710</v>
      </c>
      <c r="O593" s="415"/>
      <c r="P593" s="278">
        <v>1960</v>
      </c>
    </row>
    <row r="594" customFormat="1" ht="20" hidden="1" customHeight="1" spans="1:17">
      <c r="A594" s="416">
        <v>20820</v>
      </c>
      <c r="B594" s="427" t="s">
        <v>568</v>
      </c>
      <c r="C594" s="456">
        <f>SUM(C595:C596)</f>
        <v>95.840428</v>
      </c>
      <c r="D594" s="456">
        <f>SUM(D595:D596)</f>
        <v>17.8</v>
      </c>
      <c r="E594" s="456">
        <f>SUM(E595:E596)</f>
        <v>96</v>
      </c>
      <c r="F594" s="457">
        <f t="shared" si="40"/>
        <v>539.325842696629</v>
      </c>
      <c r="G594" s="458">
        <f t="shared" si="38"/>
        <v>0.159571999999997</v>
      </c>
      <c r="H594" s="457">
        <f t="shared" si="41"/>
        <v>0.166497587009938</v>
      </c>
      <c r="I594" s="456">
        <f>SUM(I595:I596)</f>
        <v>64.5</v>
      </c>
      <c r="J594" s="459">
        <f t="shared" si="39"/>
        <v>46.7</v>
      </c>
      <c r="K594" s="460">
        <f t="shared" si="42"/>
        <v>262.359550561798</v>
      </c>
      <c r="M594">
        <f t="shared" si="37"/>
        <v>0</v>
      </c>
      <c r="N594" s="415"/>
      <c r="O594" s="415"/>
    </row>
    <row r="595" s="278" customFormat="1" ht="20" hidden="1" customHeight="1" spans="1:17">
      <c r="A595" s="418">
        <v>2082001</v>
      </c>
      <c r="B595" s="422" t="s">
        <v>569</v>
      </c>
      <c r="C595" s="474">
        <v>71.0543</v>
      </c>
      <c r="D595" s="466">
        <v>17.8</v>
      </c>
      <c r="E595" s="474">
        <v>86</v>
      </c>
      <c r="F595" s="457">
        <f t="shared" si="40"/>
        <v>483.14606741573</v>
      </c>
      <c r="G595" s="458">
        <f t="shared" si="38"/>
        <v>14.9457</v>
      </c>
      <c r="H595" s="457">
        <f t="shared" si="41"/>
        <v>21.0341949748291</v>
      </c>
      <c r="I595" s="462">
        <f>31.5+30</f>
        <v>61.5</v>
      </c>
      <c r="J595" s="459">
        <f t="shared" si="39"/>
        <v>43.7</v>
      </c>
      <c r="K595" s="460">
        <f t="shared" si="42"/>
        <v>245.505617977528</v>
      </c>
      <c r="M595" s="278">
        <f t="shared" si="37"/>
        <v>15</v>
      </c>
      <c r="N595" s="415">
        <v>15</v>
      </c>
      <c r="O595" s="415"/>
      <c r="P595" s="278">
        <v>70</v>
      </c>
      <c r="Q595" s="278">
        <v>11</v>
      </c>
    </row>
    <row r="596" s="278" customFormat="1" ht="20" hidden="1" customHeight="1" spans="1:17">
      <c r="A596" s="418">
        <v>2082002</v>
      </c>
      <c r="B596" s="422" t="s">
        <v>570</v>
      </c>
      <c r="C596" s="474">
        <v>24.786128</v>
      </c>
      <c r="D596" s="461"/>
      <c r="E596" s="474">
        <v>10</v>
      </c>
      <c r="F596" s="457"/>
      <c r="G596" s="458">
        <f t="shared" si="38"/>
        <v>-14.786128</v>
      </c>
      <c r="H596" s="457">
        <f t="shared" si="41"/>
        <v>-59.654852101143</v>
      </c>
      <c r="I596" s="461">
        <v>3</v>
      </c>
      <c r="J596" s="459">
        <f t="shared" si="39"/>
        <v>3</v>
      </c>
      <c r="K596" s="460"/>
      <c r="M596" s="278">
        <f t="shared" si="37"/>
        <v>0</v>
      </c>
      <c r="N596" s="415"/>
      <c r="O596" s="415"/>
      <c r="P596" s="278">
        <v>60</v>
      </c>
    </row>
    <row r="597" customFormat="1" ht="20" hidden="1" customHeight="1" spans="1:17">
      <c r="A597" s="416">
        <v>20821</v>
      </c>
      <c r="B597" s="427" t="s">
        <v>571</v>
      </c>
      <c r="C597" s="456">
        <f>SUM(C598:C599)</f>
        <v>2958.065832</v>
      </c>
      <c r="D597" s="456">
        <f>SUM(D598:D599)</f>
        <v>1100.8</v>
      </c>
      <c r="E597" s="456">
        <f>SUM(E598:E599)</f>
        <v>3332</v>
      </c>
      <c r="F597" s="457">
        <f t="shared" si="40"/>
        <v>302.688953488372</v>
      </c>
      <c r="G597" s="458">
        <f t="shared" si="38"/>
        <v>373.934168</v>
      </c>
      <c r="H597" s="457">
        <f t="shared" si="41"/>
        <v>12.6411712665359</v>
      </c>
      <c r="I597" s="456">
        <f>SUM(I598:I599)</f>
        <v>1892.5</v>
      </c>
      <c r="J597" s="459">
        <f t="shared" si="39"/>
        <v>791.7</v>
      </c>
      <c r="K597" s="460">
        <f t="shared" si="42"/>
        <v>71.9204215116279</v>
      </c>
      <c r="M597">
        <f t="shared" si="37"/>
        <v>0</v>
      </c>
      <c r="N597" s="415"/>
      <c r="O597" s="415"/>
    </row>
    <row r="598" s="278" customFormat="1" ht="20" hidden="1" customHeight="1" spans="1:17">
      <c r="A598" s="418">
        <v>2082101</v>
      </c>
      <c r="B598" s="422" t="s">
        <v>572</v>
      </c>
      <c r="C598" s="474">
        <v>646.04764</v>
      </c>
      <c r="D598" s="466">
        <v>216.3</v>
      </c>
      <c r="E598" s="474">
        <v>766</v>
      </c>
      <c r="F598" s="457">
        <f t="shared" si="40"/>
        <v>354.1377716135</v>
      </c>
      <c r="G598" s="458">
        <f t="shared" si="38"/>
        <v>119.95236</v>
      </c>
      <c r="H598" s="457">
        <f t="shared" si="41"/>
        <v>18.5671075278597</v>
      </c>
      <c r="I598" s="462">
        <f>283.5+150</f>
        <v>433.5</v>
      </c>
      <c r="J598" s="459">
        <f t="shared" si="39"/>
        <v>217.2</v>
      </c>
      <c r="K598" s="460">
        <f t="shared" si="42"/>
        <v>100.416088765603</v>
      </c>
      <c r="M598" s="278">
        <f t="shared" si="37"/>
        <v>212</v>
      </c>
      <c r="N598" s="415">
        <v>212</v>
      </c>
      <c r="O598" s="415"/>
      <c r="P598" s="278">
        <v>310</v>
      </c>
    </row>
    <row r="599" s="278" customFormat="1" ht="20" hidden="1" customHeight="1" spans="1:17">
      <c r="A599" s="418">
        <v>2082102</v>
      </c>
      <c r="B599" s="422" t="s">
        <v>573</v>
      </c>
      <c r="C599" s="464">
        <v>2312.018192</v>
      </c>
      <c r="D599" s="466">
        <v>884.5</v>
      </c>
      <c r="E599" s="464">
        <v>2566</v>
      </c>
      <c r="F599" s="457">
        <f t="shared" si="40"/>
        <v>290.107405313737</v>
      </c>
      <c r="G599" s="458">
        <f t="shared" si="38"/>
        <v>253.981808</v>
      </c>
      <c r="H599" s="457">
        <f t="shared" si="41"/>
        <v>10.9852858804841</v>
      </c>
      <c r="I599" s="462">
        <f>1059+400</f>
        <v>1459</v>
      </c>
      <c r="J599" s="459">
        <f t="shared" si="39"/>
        <v>574.5</v>
      </c>
      <c r="K599" s="460">
        <f t="shared" si="42"/>
        <v>64.951950254381</v>
      </c>
      <c r="M599" s="278">
        <f t="shared" si="37"/>
        <v>848</v>
      </c>
      <c r="N599" s="415">
        <v>848</v>
      </c>
      <c r="O599" s="415"/>
      <c r="P599" s="278">
        <v>1111</v>
      </c>
    </row>
    <row r="600" customFormat="1" ht="20" hidden="1" customHeight="1" spans="1:17">
      <c r="A600" s="416">
        <v>20824</v>
      </c>
      <c r="B600" s="427" t="s">
        <v>574</v>
      </c>
      <c r="C600" s="456">
        <v>0</v>
      </c>
      <c r="D600" s="456"/>
      <c r="E600" s="456">
        <v>0</v>
      </c>
      <c r="F600" s="457"/>
      <c r="G600" s="458">
        <f t="shared" si="38"/>
        <v>0</v>
      </c>
      <c r="H600" s="457"/>
      <c r="I600" s="456"/>
      <c r="J600" s="459">
        <f t="shared" si="39"/>
        <v>0</v>
      </c>
      <c r="K600" s="460"/>
      <c r="M600">
        <f t="shared" si="37"/>
        <v>0</v>
      </c>
      <c r="N600" s="415"/>
      <c r="O600" s="415"/>
    </row>
    <row r="601" customFormat="1" ht="20" hidden="1" customHeight="1" spans="1:17">
      <c r="A601" s="418">
        <v>2082401</v>
      </c>
      <c r="B601" s="239" t="s">
        <v>575</v>
      </c>
      <c r="C601" s="461">
        <v>0</v>
      </c>
      <c r="D601" s="461"/>
      <c r="E601" s="461">
        <v>0</v>
      </c>
      <c r="F601" s="457"/>
      <c r="G601" s="458">
        <f t="shared" si="38"/>
        <v>0</v>
      </c>
      <c r="H601" s="457"/>
      <c r="I601" s="461"/>
      <c r="J601" s="459">
        <f t="shared" si="39"/>
        <v>0</v>
      </c>
      <c r="K601" s="460"/>
      <c r="M601">
        <f t="shared" si="37"/>
        <v>0</v>
      </c>
      <c r="N601" s="415"/>
      <c r="O601" s="415"/>
    </row>
    <row r="602" customFormat="1" ht="20" hidden="1" customHeight="1" spans="1:17">
      <c r="A602" s="418">
        <v>2082402</v>
      </c>
      <c r="B602" s="239" t="s">
        <v>576</v>
      </c>
      <c r="C602" s="461">
        <v>0</v>
      </c>
      <c r="D602" s="461"/>
      <c r="E602" s="461">
        <v>0</v>
      </c>
      <c r="F602" s="457"/>
      <c r="G602" s="458">
        <f t="shared" si="38"/>
        <v>0</v>
      </c>
      <c r="H602" s="457"/>
      <c r="I602" s="461"/>
      <c r="J602" s="459">
        <f t="shared" si="39"/>
        <v>0</v>
      </c>
      <c r="K602" s="460"/>
      <c r="M602">
        <f t="shared" si="37"/>
        <v>0</v>
      </c>
      <c r="N602" s="415"/>
      <c r="O602" s="415"/>
    </row>
    <row r="603" customFormat="1" ht="20" hidden="1" customHeight="1" spans="1:17">
      <c r="A603" s="416">
        <v>20825</v>
      </c>
      <c r="B603" s="427" t="s">
        <v>577</v>
      </c>
      <c r="C603" s="470">
        <f>SUM(C604:C605)</f>
        <v>468.6</v>
      </c>
      <c r="D603" s="470">
        <f>SUM(D604:D605)</f>
        <v>1.325</v>
      </c>
      <c r="E603" s="470">
        <f>SUM(E604:E605)</f>
        <v>2</v>
      </c>
      <c r="F603" s="457">
        <f t="shared" si="40"/>
        <v>150.943396226415</v>
      </c>
      <c r="G603" s="458">
        <f t="shared" si="38"/>
        <v>-466.6</v>
      </c>
      <c r="H603" s="457">
        <f t="shared" si="41"/>
        <v>-99.5731967562953</v>
      </c>
      <c r="I603" s="470">
        <f>SUM(I604:I605)</f>
        <v>0</v>
      </c>
      <c r="J603" s="459">
        <f t="shared" si="39"/>
        <v>-1.325</v>
      </c>
      <c r="K603" s="460">
        <f t="shared" si="42"/>
        <v>-100</v>
      </c>
      <c r="M603">
        <f t="shared" si="37"/>
        <v>0</v>
      </c>
      <c r="N603" s="415"/>
      <c r="O603" s="415"/>
    </row>
    <row r="604" customFormat="1" ht="20" hidden="1" customHeight="1" spans="1:17">
      <c r="A604" s="418">
        <v>2082501</v>
      </c>
      <c r="B604" s="239" t="s">
        <v>578</v>
      </c>
      <c r="C604" s="464">
        <v>63.6</v>
      </c>
      <c r="D604" s="461"/>
      <c r="E604" s="464"/>
      <c r="F604" s="457"/>
      <c r="G604" s="458">
        <f t="shared" si="38"/>
        <v>-63.6</v>
      </c>
      <c r="H604" s="457">
        <f t="shared" si="41"/>
        <v>-100</v>
      </c>
      <c r="I604" s="461"/>
      <c r="J604" s="459">
        <f t="shared" si="39"/>
        <v>0</v>
      </c>
      <c r="K604" s="460"/>
      <c r="M604">
        <f t="shared" si="37"/>
        <v>0</v>
      </c>
      <c r="N604" s="415"/>
      <c r="O604" s="415"/>
    </row>
    <row r="605" customFormat="1" ht="20" hidden="1" customHeight="1" spans="1:17">
      <c r="A605" s="418">
        <v>2082502</v>
      </c>
      <c r="B605" s="239" t="s">
        <v>579</v>
      </c>
      <c r="C605" s="464">
        <v>405</v>
      </c>
      <c r="D605" s="466">
        <v>1.325</v>
      </c>
      <c r="E605" s="464">
        <v>2</v>
      </c>
      <c r="F605" s="457">
        <f t="shared" si="40"/>
        <v>150.943396226415</v>
      </c>
      <c r="G605" s="458">
        <f t="shared" si="38"/>
        <v>-403</v>
      </c>
      <c r="H605" s="457">
        <f t="shared" si="41"/>
        <v>-99.5061728395062</v>
      </c>
      <c r="I605" s="466"/>
      <c r="J605" s="459">
        <f t="shared" si="39"/>
        <v>-1.325</v>
      </c>
      <c r="K605" s="460">
        <f t="shared" si="42"/>
        <v>-100</v>
      </c>
      <c r="M605">
        <f t="shared" si="37"/>
        <v>1</v>
      </c>
      <c r="N605" s="415">
        <v>1</v>
      </c>
      <c r="O605" s="415"/>
    </row>
    <row r="606" customFormat="1" ht="20" hidden="1" customHeight="1" spans="1:17">
      <c r="A606" s="416">
        <v>20826</v>
      </c>
      <c r="B606" s="427" t="s">
        <v>580</v>
      </c>
      <c r="C606" s="470">
        <f>SUM(C607:C609)</f>
        <v>6260</v>
      </c>
      <c r="D606" s="470">
        <f>SUM(D607:D609)</f>
        <v>11663.094</v>
      </c>
      <c r="E606" s="470">
        <f>SUM(E607:E609)</f>
        <v>14967</v>
      </c>
      <c r="F606" s="457">
        <f t="shared" si="40"/>
        <v>128.327869088597</v>
      </c>
      <c r="G606" s="458">
        <f t="shared" si="38"/>
        <v>8707</v>
      </c>
      <c r="H606" s="457">
        <f t="shared" si="41"/>
        <v>139.08945686901</v>
      </c>
      <c r="I606" s="470">
        <f>SUM(I607:I609)</f>
        <v>12675</v>
      </c>
      <c r="J606" s="459">
        <f t="shared" si="39"/>
        <v>1011.906</v>
      </c>
      <c r="K606" s="460">
        <f t="shared" si="42"/>
        <v>8.6761368810026</v>
      </c>
      <c r="M606">
        <f t="shared" si="37"/>
        <v>0</v>
      </c>
      <c r="N606" s="415"/>
      <c r="O606" s="415"/>
    </row>
    <row r="607" s="278" customFormat="1" ht="20" hidden="1" customHeight="1" spans="1:17">
      <c r="A607" s="418">
        <v>2082601</v>
      </c>
      <c r="B607" s="433" t="s">
        <v>581</v>
      </c>
      <c r="C607" s="464">
        <v>0</v>
      </c>
      <c r="D607" s="461"/>
      <c r="E607" s="464">
        <v>0</v>
      </c>
      <c r="F607" s="457"/>
      <c r="G607" s="458">
        <f t="shared" si="38"/>
        <v>0</v>
      </c>
      <c r="H607" s="457"/>
      <c r="I607" s="461"/>
      <c r="J607" s="459">
        <f t="shared" si="39"/>
        <v>0</v>
      </c>
      <c r="K607" s="460"/>
      <c r="M607" s="278">
        <f t="shared" si="37"/>
        <v>0</v>
      </c>
      <c r="N607" s="415"/>
      <c r="O607" s="415"/>
    </row>
    <row r="608" s="278" customFormat="1" ht="20" hidden="1" customHeight="1" spans="1:17">
      <c r="A608" s="418">
        <v>2082602</v>
      </c>
      <c r="B608" s="433" t="s">
        <v>582</v>
      </c>
      <c r="C608" s="464">
        <v>6260</v>
      </c>
      <c r="D608" s="466">
        <f>995.094+8787+1722+159</f>
        <v>11663.094</v>
      </c>
      <c r="E608" s="464">
        <v>14967</v>
      </c>
      <c r="F608" s="457">
        <f t="shared" si="40"/>
        <v>128.327869088597</v>
      </c>
      <c r="G608" s="458">
        <f t="shared" si="38"/>
        <v>8707</v>
      </c>
      <c r="H608" s="457">
        <f t="shared" si="41"/>
        <v>139.08945686901</v>
      </c>
      <c r="I608" s="466">
        <f>9657+3018</f>
        <v>12675</v>
      </c>
      <c r="J608" s="459">
        <f t="shared" si="39"/>
        <v>1011.906</v>
      </c>
      <c r="K608" s="460">
        <f t="shared" si="42"/>
        <v>8.6761368810026</v>
      </c>
      <c r="M608" s="278">
        <f t="shared" si="37"/>
        <v>0</v>
      </c>
      <c r="N608" s="415"/>
      <c r="O608" s="415"/>
      <c r="P608" s="278">
        <v>8787</v>
      </c>
    </row>
    <row r="609" s="278" customFormat="1" ht="20" hidden="1" customHeight="1" spans="1:15">
      <c r="A609" s="418">
        <v>2082699</v>
      </c>
      <c r="B609" s="433" t="s">
        <v>583</v>
      </c>
      <c r="C609" s="464">
        <v>0</v>
      </c>
      <c r="D609" s="461"/>
      <c r="E609" s="464">
        <v>0</v>
      </c>
      <c r="F609" s="457"/>
      <c r="G609" s="458">
        <f t="shared" si="38"/>
        <v>0</v>
      </c>
      <c r="H609" s="457"/>
      <c r="I609" s="461"/>
      <c r="J609" s="459">
        <f t="shared" si="39"/>
        <v>0</v>
      </c>
      <c r="K609" s="460"/>
      <c r="M609" s="278">
        <f t="shared" si="37"/>
        <v>0</v>
      </c>
      <c r="N609" s="415"/>
      <c r="O609" s="415"/>
    </row>
    <row r="610" customFormat="1" ht="20" hidden="1" customHeight="1" spans="1:15">
      <c r="A610" s="416">
        <v>20827</v>
      </c>
      <c r="B610" s="427" t="s">
        <v>584</v>
      </c>
      <c r="C610" s="456">
        <v>0</v>
      </c>
      <c r="D610" s="456"/>
      <c r="E610" s="456">
        <v>0</v>
      </c>
      <c r="F610" s="457"/>
      <c r="G610" s="458">
        <f t="shared" si="38"/>
        <v>0</v>
      </c>
      <c r="H610" s="457"/>
      <c r="I610" s="456"/>
      <c r="J610" s="459">
        <f t="shared" si="39"/>
        <v>0</v>
      </c>
      <c r="K610" s="460"/>
      <c r="M610">
        <f t="shared" si="37"/>
        <v>0</v>
      </c>
      <c r="N610" s="415"/>
      <c r="O610" s="415"/>
    </row>
    <row r="611" s="278" customFormat="1" ht="20" hidden="1" customHeight="1" spans="1:15">
      <c r="A611" s="418">
        <v>2082701</v>
      </c>
      <c r="B611" s="433" t="s">
        <v>585</v>
      </c>
      <c r="C611" s="464">
        <v>0</v>
      </c>
      <c r="D611" s="461"/>
      <c r="E611" s="464">
        <v>0</v>
      </c>
      <c r="F611" s="457"/>
      <c r="G611" s="458">
        <f t="shared" si="38"/>
        <v>0</v>
      </c>
      <c r="H611" s="457"/>
      <c r="I611" s="461"/>
      <c r="J611" s="459">
        <f t="shared" si="39"/>
        <v>0</v>
      </c>
      <c r="K611" s="460"/>
      <c r="M611" s="278">
        <f t="shared" si="37"/>
        <v>0</v>
      </c>
      <c r="N611" s="415"/>
      <c r="O611" s="415"/>
    </row>
    <row r="612" s="278" customFormat="1" ht="20" hidden="1" customHeight="1" spans="1:15">
      <c r="A612" s="418">
        <v>2082702</v>
      </c>
      <c r="B612" s="433" t="s">
        <v>586</v>
      </c>
      <c r="C612" s="464">
        <v>0</v>
      </c>
      <c r="D612" s="461"/>
      <c r="E612" s="464">
        <v>0</v>
      </c>
      <c r="F612" s="457"/>
      <c r="G612" s="458">
        <f t="shared" si="38"/>
        <v>0</v>
      </c>
      <c r="H612" s="457"/>
      <c r="I612" s="461"/>
      <c r="J612" s="459">
        <f t="shared" si="39"/>
        <v>0</v>
      </c>
      <c r="K612" s="460"/>
      <c r="M612" s="278">
        <f t="shared" si="37"/>
        <v>0</v>
      </c>
      <c r="N612" s="415"/>
      <c r="O612" s="415"/>
    </row>
    <row r="613" s="278" customFormat="1" ht="20" hidden="1" customHeight="1" spans="1:15">
      <c r="A613" s="418">
        <v>2082799</v>
      </c>
      <c r="B613" s="433" t="s">
        <v>587</v>
      </c>
      <c r="C613" s="464">
        <v>0</v>
      </c>
      <c r="D613" s="461"/>
      <c r="E613" s="464">
        <v>0</v>
      </c>
      <c r="F613" s="457"/>
      <c r="G613" s="458">
        <f t="shared" si="38"/>
        <v>0</v>
      </c>
      <c r="H613" s="457"/>
      <c r="I613" s="461"/>
      <c r="J613" s="459">
        <f t="shared" si="39"/>
        <v>0</v>
      </c>
      <c r="K613" s="460"/>
      <c r="M613" s="278">
        <f t="shared" si="37"/>
        <v>0</v>
      </c>
      <c r="N613" s="415"/>
      <c r="O613" s="415"/>
    </row>
    <row r="614" customFormat="1" ht="20" hidden="1" customHeight="1" spans="1:15">
      <c r="A614" s="416">
        <v>20828</v>
      </c>
      <c r="B614" s="427" t="s">
        <v>588</v>
      </c>
      <c r="C614" s="456">
        <f>SUM(C615:C622)</f>
        <v>410.894153</v>
      </c>
      <c r="D614" s="456">
        <f>SUM(D615:D622)</f>
        <v>185.482922</v>
      </c>
      <c r="E614" s="456">
        <f>SUM(E615:E622)</f>
        <v>262</v>
      </c>
      <c r="F614" s="457">
        <f t="shared" si="40"/>
        <v>141.252896587428</v>
      </c>
      <c r="G614" s="458">
        <f t="shared" si="38"/>
        <v>-148.894153</v>
      </c>
      <c r="H614" s="457">
        <f t="shared" si="41"/>
        <v>-36.2366200426318</v>
      </c>
      <c r="I614" s="456">
        <f>SUM(I615:I622)</f>
        <v>188.351969</v>
      </c>
      <c r="J614" s="459">
        <f t="shared" si="39"/>
        <v>2.86904699999999</v>
      </c>
      <c r="K614" s="460">
        <f t="shared" si="42"/>
        <v>1.54679847021172</v>
      </c>
      <c r="M614">
        <f t="shared" si="37"/>
        <v>0</v>
      </c>
      <c r="N614" s="415"/>
      <c r="O614" s="415"/>
    </row>
    <row r="615" s="278" customFormat="1" ht="20" hidden="1" customHeight="1" spans="1:15">
      <c r="A615" s="418">
        <v>2082801</v>
      </c>
      <c r="B615" s="433" t="s">
        <v>165</v>
      </c>
      <c r="C615" s="464">
        <v>67.053973</v>
      </c>
      <c r="D615" s="466">
        <v>70.589522</v>
      </c>
      <c r="E615" s="464">
        <v>72</v>
      </c>
      <c r="F615" s="457">
        <f t="shared" si="40"/>
        <v>101.998140743891</v>
      </c>
      <c r="G615" s="458">
        <f t="shared" si="38"/>
        <v>4.946027</v>
      </c>
      <c r="H615" s="457">
        <f t="shared" si="41"/>
        <v>7.37618783602875</v>
      </c>
      <c r="I615" s="462">
        <v>57.631969</v>
      </c>
      <c r="J615" s="459">
        <f t="shared" si="39"/>
        <v>-12.957553</v>
      </c>
      <c r="K615" s="460">
        <f t="shared" si="42"/>
        <v>-18.356198813756</v>
      </c>
      <c r="M615" s="278">
        <f t="shared" si="37"/>
        <v>61</v>
      </c>
      <c r="N615" s="415">
        <v>61</v>
      </c>
      <c r="O615" s="415"/>
    </row>
    <row r="616" s="278" customFormat="1" ht="20" hidden="1" customHeight="1" spans="1:15">
      <c r="A616" s="418">
        <v>2082802</v>
      </c>
      <c r="B616" s="433" t="s">
        <v>166</v>
      </c>
      <c r="C616" s="464">
        <v>11.50586</v>
      </c>
      <c r="D616" s="461"/>
      <c r="E616" s="464">
        <v>3</v>
      </c>
      <c r="F616" s="457"/>
      <c r="G616" s="458">
        <f t="shared" si="38"/>
        <v>-8.50586</v>
      </c>
      <c r="H616" s="457">
        <f t="shared" si="41"/>
        <v>-73.9263297137285</v>
      </c>
      <c r="I616" s="462">
        <v>2</v>
      </c>
      <c r="J616" s="459">
        <f t="shared" si="39"/>
        <v>2</v>
      </c>
      <c r="K616" s="460"/>
      <c r="M616" s="278">
        <f t="shared" si="37"/>
        <v>0</v>
      </c>
      <c r="N616" s="415"/>
      <c r="O616" s="415"/>
    </row>
    <row r="617" s="278" customFormat="1" ht="20" hidden="1" customHeight="1" spans="1:15">
      <c r="A617" s="418">
        <v>2082803</v>
      </c>
      <c r="B617" s="433" t="s">
        <v>167</v>
      </c>
      <c r="C617" s="464">
        <v>0</v>
      </c>
      <c r="D617" s="461"/>
      <c r="E617" s="464">
        <v>0</v>
      </c>
      <c r="F617" s="457"/>
      <c r="G617" s="458">
        <f t="shared" si="38"/>
        <v>0</v>
      </c>
      <c r="H617" s="457"/>
      <c r="I617" s="461"/>
      <c r="J617" s="459">
        <f t="shared" si="39"/>
        <v>0</v>
      </c>
      <c r="K617" s="460"/>
      <c r="M617" s="278">
        <f t="shared" si="37"/>
        <v>0</v>
      </c>
      <c r="N617" s="415"/>
      <c r="O617" s="415"/>
    </row>
    <row r="618" s="278" customFormat="1" ht="20" hidden="1" customHeight="1" spans="1:15">
      <c r="A618" s="418">
        <v>2082804</v>
      </c>
      <c r="B618" s="433" t="s">
        <v>589</v>
      </c>
      <c r="C618" s="464">
        <v>25.97</v>
      </c>
      <c r="D618" s="461"/>
      <c r="E618" s="464">
        <v>59</v>
      </c>
      <c r="F618" s="457"/>
      <c r="G618" s="458">
        <f t="shared" si="38"/>
        <v>33.03</v>
      </c>
      <c r="H618" s="457">
        <f t="shared" si="41"/>
        <v>127.185213708125</v>
      </c>
      <c r="I618" s="461"/>
      <c r="J618" s="459">
        <f t="shared" si="39"/>
        <v>0</v>
      </c>
      <c r="K618" s="460"/>
      <c r="M618" s="278">
        <f t="shared" si="37"/>
        <v>0</v>
      </c>
      <c r="N618" s="415"/>
      <c r="O618" s="415"/>
    </row>
    <row r="619" s="278" customFormat="1" ht="20" hidden="1" customHeight="1" spans="1:15">
      <c r="A619" s="418">
        <v>2082805</v>
      </c>
      <c r="B619" s="433" t="s">
        <v>590</v>
      </c>
      <c r="C619" s="464">
        <v>0</v>
      </c>
      <c r="D619" s="461"/>
      <c r="E619" s="464">
        <v>0</v>
      </c>
      <c r="F619" s="457"/>
      <c r="G619" s="458">
        <f t="shared" si="38"/>
        <v>0</v>
      </c>
      <c r="H619" s="457"/>
      <c r="I619" s="461"/>
      <c r="J619" s="459">
        <f t="shared" si="39"/>
        <v>0</v>
      </c>
      <c r="K619" s="460"/>
      <c r="M619" s="278">
        <f t="shared" si="37"/>
        <v>0</v>
      </c>
      <c r="N619" s="415"/>
      <c r="O619" s="415"/>
    </row>
    <row r="620" s="278" customFormat="1" ht="20" hidden="1" customHeight="1" spans="1:15">
      <c r="A620" s="418">
        <v>2082806</v>
      </c>
      <c r="B620" s="433" t="s">
        <v>207</v>
      </c>
      <c r="C620" s="464">
        <v>0</v>
      </c>
      <c r="D620" s="461"/>
      <c r="E620" s="464">
        <v>0</v>
      </c>
      <c r="F620" s="457"/>
      <c r="G620" s="458">
        <f t="shared" si="38"/>
        <v>0</v>
      </c>
      <c r="H620" s="457"/>
      <c r="I620" s="461"/>
      <c r="J620" s="459">
        <f t="shared" si="39"/>
        <v>0</v>
      </c>
      <c r="K620" s="460"/>
      <c r="M620" s="278">
        <f t="shared" si="37"/>
        <v>0</v>
      </c>
      <c r="N620" s="415"/>
      <c r="O620" s="415"/>
    </row>
    <row r="621" s="278" customFormat="1" ht="20" hidden="1" customHeight="1" spans="1:15">
      <c r="A621" s="418">
        <v>2082850</v>
      </c>
      <c r="B621" s="433" t="s">
        <v>174</v>
      </c>
      <c r="C621" s="464">
        <v>306.36432</v>
      </c>
      <c r="D621" s="466">
        <v>114.8934</v>
      </c>
      <c r="E621" s="464">
        <v>118</v>
      </c>
      <c r="F621" s="457">
        <f t="shared" si="40"/>
        <v>102.703897699955</v>
      </c>
      <c r="G621" s="458">
        <f t="shared" si="38"/>
        <v>-188.36432</v>
      </c>
      <c r="H621" s="457">
        <f t="shared" si="41"/>
        <v>-61.4837654724284</v>
      </c>
      <c r="I621" s="466">
        <v>128.72</v>
      </c>
      <c r="J621" s="459">
        <f t="shared" si="39"/>
        <v>13.8266</v>
      </c>
      <c r="K621" s="460">
        <f t="shared" si="42"/>
        <v>12.0342856943915</v>
      </c>
      <c r="M621" s="278">
        <f t="shared" ref="M621:M662" si="43">N621+O621</f>
        <v>0</v>
      </c>
      <c r="N621" s="415"/>
      <c r="O621" s="415"/>
    </row>
    <row r="622" s="278" customFormat="1" ht="20" hidden="1" customHeight="1" spans="1:15">
      <c r="A622" s="418">
        <v>2082899</v>
      </c>
      <c r="B622" s="433" t="s">
        <v>591</v>
      </c>
      <c r="C622" s="464">
        <v>0</v>
      </c>
      <c r="D622" s="461"/>
      <c r="E622" s="464">
        <v>10</v>
      </c>
      <c r="F622" s="457"/>
      <c r="G622" s="458">
        <f t="shared" si="38"/>
        <v>10</v>
      </c>
      <c r="H622" s="457"/>
      <c r="I622" s="461"/>
      <c r="J622" s="459">
        <f t="shared" si="39"/>
        <v>0</v>
      </c>
      <c r="K622" s="460"/>
      <c r="M622" s="278">
        <f t="shared" si="43"/>
        <v>378</v>
      </c>
      <c r="N622" s="415">
        <v>378</v>
      </c>
      <c r="O622" s="415"/>
    </row>
    <row r="623" customFormat="1" ht="20" hidden="1" customHeight="1" spans="1:15">
      <c r="A623" s="416">
        <v>20830</v>
      </c>
      <c r="B623" s="427" t="s">
        <v>592</v>
      </c>
      <c r="C623" s="456">
        <f>SUM(C624:C625)</f>
        <v>844.2371</v>
      </c>
      <c r="D623" s="456">
        <f>SUM(D624:D625)</f>
        <v>140.28</v>
      </c>
      <c r="E623" s="456">
        <f>SUM(E624:E625)</f>
        <v>205</v>
      </c>
      <c r="F623" s="457">
        <f t="shared" si="40"/>
        <v>146.13629883091</v>
      </c>
      <c r="G623" s="458">
        <f t="shared" si="38"/>
        <v>-639.2371</v>
      </c>
      <c r="H623" s="457">
        <f t="shared" si="41"/>
        <v>-75.7177219527547</v>
      </c>
      <c r="I623" s="456">
        <f>SUM(I624:I625)</f>
        <v>1702.24</v>
      </c>
      <c r="J623" s="459">
        <f t="shared" si="39"/>
        <v>1561.96</v>
      </c>
      <c r="K623" s="460">
        <f t="shared" si="42"/>
        <v>1113.45879669233</v>
      </c>
      <c r="M623">
        <f t="shared" si="43"/>
        <v>0</v>
      </c>
      <c r="N623" s="415"/>
      <c r="O623" s="415"/>
    </row>
    <row r="624" customFormat="1" ht="20" hidden="1" customHeight="1" spans="1:15">
      <c r="A624" s="418">
        <v>2083001</v>
      </c>
      <c r="B624" s="239" t="s">
        <v>593</v>
      </c>
      <c r="C624" s="461">
        <v>57.2</v>
      </c>
      <c r="D624" s="461"/>
      <c r="E624" s="461">
        <v>18</v>
      </c>
      <c r="F624" s="457"/>
      <c r="G624" s="458">
        <f t="shared" si="38"/>
        <v>-39.2</v>
      </c>
      <c r="H624" s="457">
        <f t="shared" si="41"/>
        <v>-68.5314685314685</v>
      </c>
      <c r="I624" s="461">
        <f>183.6+44</f>
        <v>227.6</v>
      </c>
      <c r="J624" s="459">
        <f t="shared" si="39"/>
        <v>227.6</v>
      </c>
      <c r="K624" s="460"/>
      <c r="M624">
        <f t="shared" si="43"/>
        <v>1068</v>
      </c>
      <c r="N624" s="415">
        <v>1068</v>
      </c>
      <c r="O624" s="415"/>
    </row>
    <row r="625" customFormat="1" ht="20" hidden="1" customHeight="1" spans="1:17">
      <c r="A625" s="418">
        <v>2083099</v>
      </c>
      <c r="B625" s="239" t="s">
        <v>594</v>
      </c>
      <c r="C625" s="461">
        <v>787.0371</v>
      </c>
      <c r="D625" s="466">
        <v>140.28</v>
      </c>
      <c r="E625" s="461">
        <v>187</v>
      </c>
      <c r="F625" s="457">
        <f t="shared" si="40"/>
        <v>133.304818933561</v>
      </c>
      <c r="G625" s="458">
        <f t="shared" si="38"/>
        <v>-600.0371</v>
      </c>
      <c r="H625" s="457">
        <f t="shared" si="41"/>
        <v>-76.2400019007999</v>
      </c>
      <c r="I625" s="466">
        <f>1255.68+30.96+188</f>
        <v>1474.64</v>
      </c>
      <c r="J625" s="459">
        <f t="shared" si="39"/>
        <v>1334.36</v>
      </c>
      <c r="K625" s="460">
        <f t="shared" si="42"/>
        <v>951.211861990305</v>
      </c>
      <c r="M625">
        <f t="shared" si="43"/>
        <v>148</v>
      </c>
      <c r="N625" s="415">
        <v>148</v>
      </c>
      <c r="O625" s="415"/>
      <c r="Q625">
        <v>55</v>
      </c>
    </row>
    <row r="626" customFormat="1" ht="20" hidden="1" customHeight="1" spans="1:17">
      <c r="A626" s="416">
        <v>20899</v>
      </c>
      <c r="B626" s="427" t="s">
        <v>595</v>
      </c>
      <c r="C626" s="470">
        <f>C627</f>
        <v>690.459771</v>
      </c>
      <c r="D626" s="470">
        <f>D627</f>
        <v>5149.402716</v>
      </c>
      <c r="E626" s="470">
        <f>E627</f>
        <v>682</v>
      </c>
      <c r="F626" s="457">
        <f t="shared" si="40"/>
        <v>13.2442544818046</v>
      </c>
      <c r="G626" s="458">
        <f t="shared" si="38"/>
        <v>-8.45977100000005</v>
      </c>
      <c r="H626" s="457">
        <f t="shared" si="41"/>
        <v>-1.22523734985279</v>
      </c>
      <c r="I626" s="470">
        <f>I627</f>
        <v>5250.48</v>
      </c>
      <c r="J626" s="459">
        <f t="shared" si="39"/>
        <v>101.077284</v>
      </c>
      <c r="K626" s="460">
        <f t="shared" si="42"/>
        <v>1.9628933601549</v>
      </c>
      <c r="M626">
        <f t="shared" si="43"/>
        <v>0</v>
      </c>
      <c r="N626" s="415"/>
      <c r="O626" s="415"/>
    </row>
    <row r="627" customFormat="1" ht="20" hidden="1" customHeight="1" spans="1:17">
      <c r="A627" s="418">
        <v>2089999</v>
      </c>
      <c r="B627" s="239" t="s">
        <v>596</v>
      </c>
      <c r="C627" s="461">
        <v>690.459771</v>
      </c>
      <c r="D627" s="461">
        <f>558.092716+30.31+4561</f>
        <v>5149.402716</v>
      </c>
      <c r="E627" s="461">
        <v>682</v>
      </c>
      <c r="F627" s="457">
        <f t="shared" si="40"/>
        <v>13.2442544818046</v>
      </c>
      <c r="G627" s="458">
        <f t="shared" si="38"/>
        <v>-8.45977100000005</v>
      </c>
      <c r="H627" s="457">
        <f t="shared" si="41"/>
        <v>-1.22523734985279</v>
      </c>
      <c r="I627" s="461">
        <f>529.33+0.15+4721</f>
        <v>5250.48</v>
      </c>
      <c r="J627" s="459">
        <f t="shared" si="39"/>
        <v>101.077284</v>
      </c>
      <c r="K627" s="460">
        <f t="shared" si="42"/>
        <v>1.9628933601549</v>
      </c>
      <c r="M627">
        <f t="shared" si="43"/>
        <v>672</v>
      </c>
      <c r="N627" s="415">
        <v>672</v>
      </c>
      <c r="O627" s="415"/>
      <c r="Q627">
        <v>109</v>
      </c>
    </row>
    <row r="628" s="278" customFormat="1" ht="20" customHeight="1" spans="1:17">
      <c r="A628" s="412">
        <v>210</v>
      </c>
      <c r="B628" s="413" t="s">
        <v>597</v>
      </c>
      <c r="C628" s="346">
        <f>SUM(C629:C704)/2</f>
        <v>25328.828331</v>
      </c>
      <c r="D628" s="346">
        <f>SUM(D629:D704)/2</f>
        <v>26405.795003</v>
      </c>
      <c r="E628" s="346">
        <f>SUM(E629:E704)/2</f>
        <v>30485</v>
      </c>
      <c r="F628" s="414">
        <f t="shared" si="40"/>
        <v>115.44814309335</v>
      </c>
      <c r="G628" s="346">
        <f t="shared" si="38"/>
        <v>5156.17166900001</v>
      </c>
      <c r="H628" s="414">
        <f t="shared" si="41"/>
        <v>20.3569292729161</v>
      </c>
      <c r="I628" s="346">
        <f>SUM(I629:I704)/2</f>
        <v>28297.715675</v>
      </c>
      <c r="J628" s="307">
        <f t="shared" si="39"/>
        <v>1891.920672</v>
      </c>
      <c r="K628" s="306">
        <f t="shared" si="42"/>
        <v>7.16479345456199</v>
      </c>
      <c r="M628" s="278">
        <f t="shared" si="43"/>
        <v>0</v>
      </c>
      <c r="N628" s="415"/>
      <c r="O628" s="415"/>
    </row>
    <row r="629" customFormat="1" ht="20" hidden="1" customHeight="1" spans="1:17">
      <c r="A629" s="416">
        <v>21001</v>
      </c>
      <c r="B629" s="427" t="s">
        <v>598</v>
      </c>
      <c r="C629" s="456">
        <f>SUM(C630:C633)</f>
        <v>604.464565</v>
      </c>
      <c r="D629" s="456">
        <f>SUM(D630:D633)</f>
        <v>361.789023</v>
      </c>
      <c r="E629" s="456">
        <f>SUM(E630:E633)</f>
        <v>441</v>
      </c>
      <c r="F629" s="457">
        <f t="shared" si="40"/>
        <v>121.894245531048</v>
      </c>
      <c r="G629" s="458">
        <f t="shared" si="38"/>
        <v>-163.464565</v>
      </c>
      <c r="H629" s="457">
        <f t="shared" si="41"/>
        <v>-27.042869750355</v>
      </c>
      <c r="I629" s="456">
        <f>SUM(I630:I633)</f>
        <v>373.823074</v>
      </c>
      <c r="J629" s="459">
        <f t="shared" si="39"/>
        <v>12.034051</v>
      </c>
      <c r="K629" s="460">
        <f t="shared" si="42"/>
        <v>3.3262620574312</v>
      </c>
      <c r="M629">
        <f t="shared" si="43"/>
        <v>0</v>
      </c>
      <c r="N629" s="415"/>
      <c r="O629" s="415"/>
    </row>
    <row r="630" customFormat="1" ht="20" hidden="1" customHeight="1" spans="1:17">
      <c r="A630" s="418">
        <v>2100101</v>
      </c>
      <c r="B630" s="239" t="s">
        <v>165</v>
      </c>
      <c r="C630" s="464">
        <v>325.113572</v>
      </c>
      <c r="D630" s="466">
        <v>359.050023</v>
      </c>
      <c r="E630" s="464">
        <v>380</v>
      </c>
      <c r="F630" s="457">
        <f t="shared" si="40"/>
        <v>105.834835164458</v>
      </c>
      <c r="G630" s="458">
        <f t="shared" si="38"/>
        <v>54.886428</v>
      </c>
      <c r="H630" s="457">
        <f t="shared" si="41"/>
        <v>16.8822321573213</v>
      </c>
      <c r="I630" s="462">
        <v>353.745766</v>
      </c>
      <c r="J630" s="459">
        <f t="shared" si="39"/>
        <v>-5.30425700000001</v>
      </c>
      <c r="K630" s="460">
        <f t="shared" si="42"/>
        <v>-1.47730306648665</v>
      </c>
      <c r="M630">
        <f t="shared" si="43"/>
        <v>351</v>
      </c>
      <c r="N630" s="415">
        <v>351</v>
      </c>
      <c r="O630" s="415"/>
    </row>
    <row r="631" customFormat="1" ht="20" hidden="1" customHeight="1" spans="1:17">
      <c r="A631" s="418">
        <v>2100102</v>
      </c>
      <c r="B631" s="239" t="s">
        <v>166</v>
      </c>
      <c r="C631" s="464">
        <v>0.2</v>
      </c>
      <c r="D631" s="461">
        <v>2.739</v>
      </c>
      <c r="E631" s="464">
        <v>3</v>
      </c>
      <c r="F631" s="457">
        <f t="shared" si="40"/>
        <v>109.529025191676</v>
      </c>
      <c r="G631" s="458">
        <f t="shared" si="38"/>
        <v>2.8</v>
      </c>
      <c r="H631" s="457">
        <f t="shared" si="41"/>
        <v>1400</v>
      </c>
      <c r="I631" s="461"/>
      <c r="J631" s="459">
        <f t="shared" si="39"/>
        <v>-2.739</v>
      </c>
      <c r="K631" s="460">
        <f t="shared" si="42"/>
        <v>-100</v>
      </c>
      <c r="M631">
        <f t="shared" si="43"/>
        <v>0</v>
      </c>
      <c r="N631" s="415"/>
      <c r="O631" s="415"/>
    </row>
    <row r="632" customFormat="1" ht="20" hidden="1" customHeight="1" spans="1:17">
      <c r="A632" s="418">
        <v>2100103</v>
      </c>
      <c r="B632" s="239" t="s">
        <v>167</v>
      </c>
      <c r="C632" s="464">
        <v>0</v>
      </c>
      <c r="D632" s="461"/>
      <c r="E632" s="464">
        <v>0</v>
      </c>
      <c r="F632" s="457"/>
      <c r="G632" s="458">
        <f t="shared" si="38"/>
        <v>0</v>
      </c>
      <c r="H632" s="457"/>
      <c r="I632" s="461"/>
      <c r="J632" s="459">
        <f t="shared" si="39"/>
        <v>0</v>
      </c>
      <c r="K632" s="460"/>
      <c r="M632">
        <f t="shared" si="43"/>
        <v>0</v>
      </c>
      <c r="N632" s="415"/>
      <c r="O632" s="415"/>
    </row>
    <row r="633" customFormat="1" ht="20" hidden="1" customHeight="1" spans="1:17">
      <c r="A633" s="418">
        <v>2100199</v>
      </c>
      <c r="B633" s="239" t="s">
        <v>599</v>
      </c>
      <c r="C633" s="464">
        <v>279.150993</v>
      </c>
      <c r="D633" s="461"/>
      <c r="E633" s="464">
        <v>58</v>
      </c>
      <c r="F633" s="457"/>
      <c r="G633" s="458">
        <f t="shared" si="38"/>
        <v>-221.150993</v>
      </c>
      <c r="H633" s="457">
        <f t="shared" si="41"/>
        <v>-79.22271406715</v>
      </c>
      <c r="I633" s="462">
        <v>20.077308</v>
      </c>
      <c r="J633" s="459">
        <f t="shared" si="39"/>
        <v>20.077308</v>
      </c>
      <c r="K633" s="460"/>
      <c r="M633">
        <f t="shared" si="43"/>
        <v>7</v>
      </c>
      <c r="N633" s="415">
        <v>7</v>
      </c>
      <c r="O633" s="415"/>
    </row>
    <row r="634" customFormat="1" ht="20" hidden="1" customHeight="1" spans="1:17">
      <c r="A634" s="416">
        <v>21002</v>
      </c>
      <c r="B634" s="427" t="s">
        <v>600</v>
      </c>
      <c r="C634" s="456">
        <f>SUM(C635:C646)</f>
        <v>1623.843193</v>
      </c>
      <c r="D634" s="456">
        <f>SUM(D635:D646)</f>
        <v>2233.744669</v>
      </c>
      <c r="E634" s="456">
        <f>SUM(E635:E646)</f>
        <v>2117</v>
      </c>
      <c r="F634" s="457">
        <f t="shared" si="40"/>
        <v>94.7735893622853</v>
      </c>
      <c r="G634" s="458">
        <f t="shared" si="38"/>
        <v>493.156807</v>
      </c>
      <c r="H634" s="457">
        <f t="shared" si="41"/>
        <v>30.3697308413695</v>
      </c>
      <c r="I634" s="456">
        <f>SUM(I635:I646)</f>
        <v>2211.389767</v>
      </c>
      <c r="J634" s="459">
        <f t="shared" si="39"/>
        <v>-22.354902</v>
      </c>
      <c r="K634" s="460">
        <f t="shared" si="42"/>
        <v>-1.00078143711957</v>
      </c>
      <c r="M634">
        <f t="shared" si="43"/>
        <v>0</v>
      </c>
      <c r="N634" s="415"/>
      <c r="O634" s="415"/>
    </row>
    <row r="635" customFormat="1" ht="20" hidden="1" customHeight="1" spans="1:17">
      <c r="A635" s="418">
        <v>2100201</v>
      </c>
      <c r="B635" s="239" t="s">
        <v>601</v>
      </c>
      <c r="C635" s="464">
        <v>682.420126</v>
      </c>
      <c r="D635" s="466">
        <v>1005.253575</v>
      </c>
      <c r="E635" s="464">
        <v>874</v>
      </c>
      <c r="F635" s="457">
        <f t="shared" si="40"/>
        <v>86.9432371827178</v>
      </c>
      <c r="G635" s="458">
        <f t="shared" si="38"/>
        <v>191.579874</v>
      </c>
      <c r="H635" s="457">
        <f t="shared" si="41"/>
        <v>28.0735967039753</v>
      </c>
      <c r="I635" s="462">
        <v>963.670176</v>
      </c>
      <c r="J635" s="459">
        <f t="shared" si="39"/>
        <v>-41.583399</v>
      </c>
      <c r="K635" s="460">
        <f t="shared" si="42"/>
        <v>-4.13660792004644</v>
      </c>
      <c r="M635">
        <f t="shared" si="43"/>
        <v>781</v>
      </c>
      <c r="N635" s="415">
        <v>781</v>
      </c>
      <c r="O635" s="415"/>
      <c r="P635">
        <v>146</v>
      </c>
    </row>
    <row r="636" customFormat="1" ht="20" hidden="1" customHeight="1" spans="1:17">
      <c r="A636" s="418">
        <v>2100202</v>
      </c>
      <c r="B636" s="239" t="s">
        <v>602</v>
      </c>
      <c r="C636" s="464">
        <v>454.02987</v>
      </c>
      <c r="D636" s="466">
        <v>544.892457</v>
      </c>
      <c r="E636" s="464">
        <v>568</v>
      </c>
      <c r="F636" s="457">
        <f t="shared" si="40"/>
        <v>104.240752960175</v>
      </c>
      <c r="G636" s="458">
        <f t="shared" si="38"/>
        <v>113.97013</v>
      </c>
      <c r="H636" s="457">
        <f t="shared" si="41"/>
        <v>25.101901335258</v>
      </c>
      <c r="I636" s="462">
        <v>572.494501</v>
      </c>
      <c r="J636" s="459">
        <f t="shared" si="39"/>
        <v>27.602044</v>
      </c>
      <c r="K636" s="460">
        <f t="shared" si="42"/>
        <v>5.06559480598572</v>
      </c>
      <c r="M636">
        <f t="shared" si="43"/>
        <v>454</v>
      </c>
      <c r="N636" s="415">
        <v>454</v>
      </c>
      <c r="O636" s="415"/>
    </row>
    <row r="637" customFormat="1" ht="20" hidden="1" customHeight="1" spans="1:17">
      <c r="A637" s="418">
        <v>2100203</v>
      </c>
      <c r="B637" s="239" t="s">
        <v>603</v>
      </c>
      <c r="C637" s="464">
        <v>0</v>
      </c>
      <c r="D637" s="461"/>
      <c r="E637" s="464">
        <v>0</v>
      </c>
      <c r="F637" s="457"/>
      <c r="G637" s="458">
        <f t="shared" si="38"/>
        <v>0</v>
      </c>
      <c r="H637" s="457"/>
      <c r="I637" s="461"/>
      <c r="J637" s="459">
        <f t="shared" si="39"/>
        <v>0</v>
      </c>
      <c r="K637" s="460"/>
      <c r="M637">
        <f t="shared" si="43"/>
        <v>0</v>
      </c>
      <c r="N637" s="415"/>
      <c r="O637" s="415"/>
    </row>
    <row r="638" customFormat="1" ht="20" hidden="1" customHeight="1" spans="1:17">
      <c r="A638" s="418">
        <v>2100204</v>
      </c>
      <c r="B638" s="239" t="s">
        <v>604</v>
      </c>
      <c r="C638" s="464">
        <v>0</v>
      </c>
      <c r="D638" s="461"/>
      <c r="E638" s="464">
        <v>0</v>
      </c>
      <c r="F638" s="457"/>
      <c r="G638" s="458">
        <f t="shared" si="38"/>
        <v>0</v>
      </c>
      <c r="H638" s="457"/>
      <c r="I638" s="461"/>
      <c r="J638" s="459">
        <f t="shared" si="39"/>
        <v>0</v>
      </c>
      <c r="K638" s="460"/>
      <c r="M638">
        <f t="shared" si="43"/>
        <v>0</v>
      </c>
      <c r="N638" s="415"/>
      <c r="O638" s="415"/>
    </row>
    <row r="639" customFormat="1" ht="20" hidden="1" customHeight="1" spans="1:17">
      <c r="A639" s="418">
        <v>2100205</v>
      </c>
      <c r="B639" s="239" t="s">
        <v>605</v>
      </c>
      <c r="C639" s="464">
        <v>0</v>
      </c>
      <c r="D639" s="461"/>
      <c r="E639" s="464">
        <v>0</v>
      </c>
      <c r="F639" s="457"/>
      <c r="G639" s="458">
        <f t="shared" si="38"/>
        <v>0</v>
      </c>
      <c r="H639" s="457"/>
      <c r="I639" s="461"/>
      <c r="J639" s="459">
        <f t="shared" si="39"/>
        <v>0</v>
      </c>
      <c r="K639" s="460"/>
      <c r="M639">
        <f t="shared" si="43"/>
        <v>0</v>
      </c>
      <c r="N639" s="415"/>
      <c r="O639" s="415"/>
    </row>
    <row r="640" customFormat="1" ht="20" hidden="1" customHeight="1" spans="1:17">
      <c r="A640" s="418">
        <v>2100206</v>
      </c>
      <c r="B640" s="239" t="s">
        <v>606</v>
      </c>
      <c r="C640" s="464">
        <v>473.967327</v>
      </c>
      <c r="D640" s="466">
        <v>640.148637</v>
      </c>
      <c r="E640" s="464">
        <v>633</v>
      </c>
      <c r="F640" s="457">
        <f t="shared" si="40"/>
        <v>98.8832848206158</v>
      </c>
      <c r="G640" s="458">
        <f t="shared" si="38"/>
        <v>159.032673</v>
      </c>
      <c r="H640" s="457">
        <f t="shared" si="41"/>
        <v>33.5535096916079</v>
      </c>
      <c r="I640" s="462">
        <v>675.22509</v>
      </c>
      <c r="J640" s="459">
        <f t="shared" si="39"/>
        <v>35.076453</v>
      </c>
      <c r="K640" s="460">
        <f t="shared" si="42"/>
        <v>5.47942321089407</v>
      </c>
      <c r="M640">
        <f t="shared" si="43"/>
        <v>520</v>
      </c>
      <c r="N640" s="415">
        <v>520</v>
      </c>
      <c r="O640" s="415"/>
    </row>
    <row r="641" customFormat="1" ht="20" hidden="1" customHeight="1" spans="1:17">
      <c r="A641" s="418">
        <v>2100207</v>
      </c>
      <c r="B641" s="239" t="s">
        <v>607</v>
      </c>
      <c r="C641" s="464">
        <v>0</v>
      </c>
      <c r="D641" s="461"/>
      <c r="E641" s="464">
        <v>0</v>
      </c>
      <c r="F641" s="457"/>
      <c r="G641" s="458">
        <f t="shared" si="38"/>
        <v>0</v>
      </c>
      <c r="H641" s="457"/>
      <c r="I641" s="461"/>
      <c r="J641" s="459">
        <f t="shared" si="39"/>
        <v>0</v>
      </c>
      <c r="K641" s="460"/>
      <c r="M641">
        <f t="shared" si="43"/>
        <v>0</v>
      </c>
      <c r="N641" s="415"/>
      <c r="O641" s="415"/>
    </row>
    <row r="642" customFormat="1" ht="20" hidden="1" customHeight="1" spans="1:17">
      <c r="A642" s="418">
        <v>2100208</v>
      </c>
      <c r="B642" s="239" t="s">
        <v>608</v>
      </c>
      <c r="C642" s="464">
        <v>0</v>
      </c>
      <c r="D642" s="461"/>
      <c r="E642" s="464">
        <v>0</v>
      </c>
      <c r="F642" s="457"/>
      <c r="G642" s="458">
        <f t="shared" si="38"/>
        <v>0</v>
      </c>
      <c r="H642" s="457"/>
      <c r="I642" s="461"/>
      <c r="J642" s="459">
        <f t="shared" si="39"/>
        <v>0</v>
      </c>
      <c r="K642" s="460"/>
      <c r="M642">
        <f t="shared" si="43"/>
        <v>0</v>
      </c>
      <c r="N642" s="415"/>
      <c r="O642" s="415"/>
    </row>
    <row r="643" customFormat="1" ht="20" hidden="1" customHeight="1" spans="1:17">
      <c r="A643" s="418">
        <v>2100209</v>
      </c>
      <c r="B643" s="239" t="s">
        <v>609</v>
      </c>
      <c r="C643" s="464">
        <v>0</v>
      </c>
      <c r="D643" s="461"/>
      <c r="E643" s="464">
        <v>0</v>
      </c>
      <c r="F643" s="457"/>
      <c r="G643" s="458">
        <f t="shared" si="38"/>
        <v>0</v>
      </c>
      <c r="H643" s="457"/>
      <c r="I643" s="461"/>
      <c r="J643" s="459">
        <f t="shared" si="39"/>
        <v>0</v>
      </c>
      <c r="K643" s="460"/>
      <c r="M643">
        <f t="shared" si="43"/>
        <v>0</v>
      </c>
      <c r="N643" s="415"/>
      <c r="O643" s="415"/>
    </row>
    <row r="644" customFormat="1" ht="20" hidden="1" customHeight="1" spans="1:17">
      <c r="A644" s="418">
        <v>2100210</v>
      </c>
      <c r="B644" s="239" t="s">
        <v>610</v>
      </c>
      <c r="C644" s="464">
        <v>0</v>
      </c>
      <c r="D644" s="461"/>
      <c r="E644" s="464">
        <v>0</v>
      </c>
      <c r="F644" s="457"/>
      <c r="G644" s="458">
        <f t="shared" si="38"/>
        <v>0</v>
      </c>
      <c r="H644" s="457"/>
      <c r="I644" s="461"/>
      <c r="J644" s="459">
        <f t="shared" si="39"/>
        <v>0</v>
      </c>
      <c r="K644" s="460"/>
      <c r="M644">
        <f t="shared" si="43"/>
        <v>0</v>
      </c>
      <c r="N644" s="415"/>
      <c r="O644" s="415"/>
    </row>
    <row r="645" customFormat="1" ht="20" hidden="1" customHeight="1" spans="1:17">
      <c r="A645" s="418">
        <v>2100211</v>
      </c>
      <c r="B645" s="239" t="s">
        <v>611</v>
      </c>
      <c r="C645" s="464">
        <v>0</v>
      </c>
      <c r="D645" s="461"/>
      <c r="E645" s="464">
        <v>0</v>
      </c>
      <c r="F645" s="457"/>
      <c r="G645" s="458">
        <f t="shared" si="38"/>
        <v>0</v>
      </c>
      <c r="H645" s="457"/>
      <c r="I645" s="461"/>
      <c r="J645" s="459">
        <f t="shared" si="39"/>
        <v>0</v>
      </c>
      <c r="K645" s="460"/>
      <c r="M645">
        <f t="shared" si="43"/>
        <v>0</v>
      </c>
      <c r="N645" s="415"/>
      <c r="O645" s="415"/>
    </row>
    <row r="646" customFormat="1" ht="20" hidden="1" customHeight="1" spans="1:17">
      <c r="A646" s="418">
        <v>2100299</v>
      </c>
      <c r="B646" s="239" t="s">
        <v>612</v>
      </c>
      <c r="C646" s="464">
        <v>13.42587</v>
      </c>
      <c r="D646" s="461">
        <v>43.45</v>
      </c>
      <c r="E646" s="464">
        <v>42</v>
      </c>
      <c r="F646" s="457">
        <f t="shared" si="40"/>
        <v>96.662830840046</v>
      </c>
      <c r="G646" s="458">
        <f t="shared" si="38"/>
        <v>28.57413</v>
      </c>
      <c r="H646" s="457">
        <f t="shared" si="41"/>
        <v>212.828889301029</v>
      </c>
      <c r="I646" s="461"/>
      <c r="J646" s="459">
        <f t="shared" si="39"/>
        <v>-43.45</v>
      </c>
      <c r="K646" s="460">
        <f t="shared" si="42"/>
        <v>-100</v>
      </c>
      <c r="M646">
        <f t="shared" si="43"/>
        <v>0</v>
      </c>
      <c r="N646" s="415"/>
      <c r="O646" s="415"/>
      <c r="P646">
        <v>262</v>
      </c>
      <c r="Q646">
        <v>171</v>
      </c>
    </row>
    <row r="647" customFormat="1" ht="20" hidden="1" customHeight="1" spans="1:17">
      <c r="A647" s="416">
        <v>21003</v>
      </c>
      <c r="B647" s="427" t="s">
        <v>613</v>
      </c>
      <c r="C647" s="456">
        <f>SUM(C648:C650)</f>
        <v>3573.157158</v>
      </c>
      <c r="D647" s="456">
        <f>SUM(D648:D650)</f>
        <v>4007.869052</v>
      </c>
      <c r="E647" s="456">
        <f>SUM(E648:E650)</f>
        <v>4440</v>
      </c>
      <c r="F647" s="457">
        <f t="shared" ref="F647:F710" si="44">E647/D647*100</f>
        <v>110.782062547287</v>
      </c>
      <c r="G647" s="458">
        <f t="shared" ref="G647:G710" si="45">E647-C647</f>
        <v>866.842842</v>
      </c>
      <c r="H647" s="457">
        <f t="shared" ref="H647:H710" si="46">G647/C647*100</f>
        <v>24.2598577020104</v>
      </c>
      <c r="I647" s="456">
        <f>SUM(I648:I650)</f>
        <v>4176.3</v>
      </c>
      <c r="J647" s="459">
        <f t="shared" ref="J647:J710" si="47">I647-D647</f>
        <v>168.430948</v>
      </c>
      <c r="K647" s="460">
        <f t="shared" ref="K647:K710" si="48">J647/D647*100</f>
        <v>4.20250626491776</v>
      </c>
      <c r="M647">
        <f t="shared" si="43"/>
        <v>0</v>
      </c>
      <c r="N647" s="415"/>
      <c r="O647" s="415"/>
    </row>
    <row r="648" customFormat="1" ht="20" hidden="1" customHeight="1" spans="1:17">
      <c r="A648" s="418">
        <v>2100301</v>
      </c>
      <c r="B648" s="239" t="s">
        <v>614</v>
      </c>
      <c r="C648" s="464">
        <v>0</v>
      </c>
      <c r="D648" s="461"/>
      <c r="E648" s="464">
        <v>0</v>
      </c>
      <c r="F648" s="457"/>
      <c r="G648" s="458">
        <f t="shared" si="45"/>
        <v>0</v>
      </c>
      <c r="H648" s="457"/>
      <c r="I648" s="461"/>
      <c r="J648" s="459">
        <f t="shared" si="47"/>
        <v>0</v>
      </c>
      <c r="K648" s="460"/>
      <c r="M648">
        <f t="shared" si="43"/>
        <v>177</v>
      </c>
      <c r="N648" s="415">
        <v>177</v>
      </c>
      <c r="O648" s="415"/>
    </row>
    <row r="649" customFormat="1" ht="20" hidden="1" customHeight="1" spans="1:17">
      <c r="A649" s="418">
        <v>2100302</v>
      </c>
      <c r="B649" s="239" t="s">
        <v>615</v>
      </c>
      <c r="C649" s="461">
        <v>2404.643091</v>
      </c>
      <c r="D649" s="461">
        <v>3042.579207</v>
      </c>
      <c r="E649" s="461">
        <v>3137</v>
      </c>
      <c r="F649" s="457">
        <f t="shared" si="44"/>
        <v>103.1033142139</v>
      </c>
      <c r="G649" s="458">
        <f t="shared" si="45"/>
        <v>732.356909</v>
      </c>
      <c r="H649" s="457">
        <f t="shared" si="46"/>
        <v>30.455950479347</v>
      </c>
      <c r="I649" s="461">
        <v>2923.48</v>
      </c>
      <c r="J649" s="459">
        <f t="shared" si="47"/>
        <v>-119.099207</v>
      </c>
      <c r="K649" s="460">
        <f t="shared" si="48"/>
        <v>-3.91441599041994</v>
      </c>
      <c r="M649">
        <f t="shared" si="43"/>
        <v>2654</v>
      </c>
      <c r="N649" s="415">
        <v>2654</v>
      </c>
      <c r="O649" s="415"/>
      <c r="P649">
        <v>263</v>
      </c>
      <c r="Q649">
        <v>25</v>
      </c>
    </row>
    <row r="650" customFormat="1" ht="20" hidden="1" customHeight="1" spans="1:17">
      <c r="A650" s="418">
        <v>2100399</v>
      </c>
      <c r="B650" s="239" t="s">
        <v>616</v>
      </c>
      <c r="C650" s="461">
        <v>1168.514067</v>
      </c>
      <c r="D650" s="466">
        <f>16.8+322.04+493.79+132.659845</f>
        <v>965.289845</v>
      </c>
      <c r="E650" s="461">
        <v>1303</v>
      </c>
      <c r="F650" s="457">
        <f t="shared" si="44"/>
        <v>134.985362867875</v>
      </c>
      <c r="G650" s="458">
        <f t="shared" si="45"/>
        <v>134.485933</v>
      </c>
      <c r="H650" s="457">
        <f t="shared" si="46"/>
        <v>11.5091411218758</v>
      </c>
      <c r="I650" s="462">
        <f>361.98+377.88+342.11+170.85</f>
        <v>1252.82</v>
      </c>
      <c r="J650" s="459">
        <f t="shared" si="47"/>
        <v>287.530155</v>
      </c>
      <c r="K650" s="460">
        <f t="shared" si="48"/>
        <v>29.7869242579673</v>
      </c>
      <c r="M650">
        <f t="shared" si="43"/>
        <v>0</v>
      </c>
      <c r="N650" s="415"/>
      <c r="O650" s="415"/>
      <c r="P650">
        <v>553</v>
      </c>
      <c r="Q650">
        <v>150</v>
      </c>
    </row>
    <row r="651" customFormat="1" ht="20" hidden="1" customHeight="1" spans="1:17">
      <c r="A651" s="416">
        <v>21004</v>
      </c>
      <c r="B651" s="427" t="s">
        <v>617</v>
      </c>
      <c r="C651" s="456">
        <f>SUM(C652:C662)</f>
        <v>4081.394917</v>
      </c>
      <c r="D651" s="456">
        <f>SUM(D652:D662)</f>
        <v>5161.116244</v>
      </c>
      <c r="E651" s="456">
        <f>SUM(E652:E662)</f>
        <v>5484</v>
      </c>
      <c r="F651" s="457">
        <f t="shared" si="44"/>
        <v>106.256083775973</v>
      </c>
      <c r="G651" s="458">
        <f t="shared" si="45"/>
        <v>1402.605083</v>
      </c>
      <c r="H651" s="457">
        <f t="shared" si="46"/>
        <v>34.3658261825585</v>
      </c>
      <c r="I651" s="456">
        <f>SUM(I652:I662)</f>
        <v>4561.001841</v>
      </c>
      <c r="J651" s="459">
        <f t="shared" si="47"/>
        <v>-600.114403</v>
      </c>
      <c r="K651" s="460">
        <f t="shared" si="48"/>
        <v>-11.6276087309147</v>
      </c>
      <c r="M651">
        <f t="shared" si="43"/>
        <v>0</v>
      </c>
      <c r="N651" s="415"/>
      <c r="O651" s="415"/>
    </row>
    <row r="652" customFormat="1" ht="20" hidden="1" customHeight="1" spans="1:17">
      <c r="A652" s="418">
        <v>2100401</v>
      </c>
      <c r="B652" s="239" t="s">
        <v>618</v>
      </c>
      <c r="C652" s="464">
        <v>635.608083</v>
      </c>
      <c r="D652" s="466">
        <v>726.490088</v>
      </c>
      <c r="E652" s="464">
        <v>750</v>
      </c>
      <c r="F652" s="457">
        <f t="shared" si="44"/>
        <v>103.236095356059</v>
      </c>
      <c r="G652" s="458">
        <f t="shared" si="45"/>
        <v>114.391917</v>
      </c>
      <c r="H652" s="457">
        <f t="shared" si="46"/>
        <v>17.9972407619618</v>
      </c>
      <c r="I652" s="462">
        <v>662.015841</v>
      </c>
      <c r="J652" s="459">
        <f t="shared" si="47"/>
        <v>-64.474247</v>
      </c>
      <c r="K652" s="460">
        <f t="shared" si="48"/>
        <v>-8.87475934840284</v>
      </c>
      <c r="M652">
        <f t="shared" si="43"/>
        <v>603</v>
      </c>
      <c r="N652" s="415">
        <v>603</v>
      </c>
      <c r="O652" s="415"/>
      <c r="Q652">
        <v>1532</v>
      </c>
    </row>
    <row r="653" customFormat="1" ht="20" hidden="1" customHeight="1" spans="1:17">
      <c r="A653" s="418">
        <v>2100402</v>
      </c>
      <c r="B653" s="239" t="s">
        <v>619</v>
      </c>
      <c r="C653" s="464">
        <v>185.825138</v>
      </c>
      <c r="D653" s="461"/>
      <c r="E653" s="464">
        <v>3</v>
      </c>
      <c r="F653" s="457"/>
      <c r="G653" s="458">
        <f t="shared" si="45"/>
        <v>-182.825138</v>
      </c>
      <c r="H653" s="457">
        <f t="shared" si="46"/>
        <v>-98.3855790275264</v>
      </c>
      <c r="I653" s="461"/>
      <c r="J653" s="459">
        <f t="shared" si="47"/>
        <v>0</v>
      </c>
      <c r="K653" s="460"/>
      <c r="M653">
        <f t="shared" si="43"/>
        <v>215</v>
      </c>
      <c r="N653" s="415">
        <v>215</v>
      </c>
      <c r="O653" s="415"/>
      <c r="Q653">
        <v>45</v>
      </c>
    </row>
    <row r="654" customFormat="1" ht="20" hidden="1" customHeight="1" spans="1:17">
      <c r="A654" s="418">
        <v>2100403</v>
      </c>
      <c r="B654" s="239" t="s">
        <v>620</v>
      </c>
      <c r="C654" s="464">
        <v>50</v>
      </c>
      <c r="D654" s="461"/>
      <c r="E654" s="464">
        <v>100</v>
      </c>
      <c r="F654" s="457"/>
      <c r="G654" s="458">
        <f t="shared" si="45"/>
        <v>50</v>
      </c>
      <c r="H654" s="457">
        <f t="shared" si="46"/>
        <v>100</v>
      </c>
      <c r="I654" s="462">
        <v>68</v>
      </c>
      <c r="J654" s="459">
        <f t="shared" si="47"/>
        <v>68</v>
      </c>
      <c r="K654" s="460"/>
      <c r="M654">
        <f t="shared" si="43"/>
        <v>0</v>
      </c>
      <c r="N654" s="415"/>
      <c r="O654" s="415"/>
    </row>
    <row r="655" customFormat="1" ht="20" hidden="1" customHeight="1" spans="1:17">
      <c r="A655" s="418">
        <v>2100404</v>
      </c>
      <c r="B655" s="239" t="s">
        <v>621</v>
      </c>
      <c r="C655" s="464">
        <v>0</v>
      </c>
      <c r="D655" s="461"/>
      <c r="E655" s="464">
        <v>0</v>
      </c>
      <c r="F655" s="457"/>
      <c r="G655" s="458">
        <f t="shared" si="45"/>
        <v>0</v>
      </c>
      <c r="H655" s="457"/>
      <c r="I655" s="461"/>
      <c r="J655" s="459">
        <f t="shared" si="47"/>
        <v>0</v>
      </c>
      <c r="K655" s="460"/>
      <c r="M655">
        <f t="shared" si="43"/>
        <v>0</v>
      </c>
      <c r="N655" s="415"/>
      <c r="O655" s="415"/>
    </row>
    <row r="656" customFormat="1" ht="20" hidden="1" customHeight="1" spans="1:17">
      <c r="A656" s="418">
        <v>2100405</v>
      </c>
      <c r="B656" s="239" t="s">
        <v>622</v>
      </c>
      <c r="C656" s="464">
        <v>0</v>
      </c>
      <c r="D656" s="461"/>
      <c r="E656" s="464">
        <v>0</v>
      </c>
      <c r="F656" s="457"/>
      <c r="G656" s="458">
        <f t="shared" si="45"/>
        <v>0</v>
      </c>
      <c r="H656" s="457"/>
      <c r="I656" s="461"/>
      <c r="J656" s="459">
        <f t="shared" si="47"/>
        <v>0</v>
      </c>
      <c r="K656" s="460"/>
      <c r="M656">
        <f t="shared" si="43"/>
        <v>0</v>
      </c>
      <c r="N656" s="415"/>
      <c r="O656" s="415"/>
    </row>
    <row r="657" customFormat="1" ht="20" hidden="1" customHeight="1" spans="1:17">
      <c r="A657" s="418">
        <v>2100406</v>
      </c>
      <c r="B657" s="239" t="s">
        <v>623</v>
      </c>
      <c r="C657" s="464">
        <v>0</v>
      </c>
      <c r="D657" s="461"/>
      <c r="E657" s="464">
        <v>0</v>
      </c>
      <c r="F657" s="457"/>
      <c r="G657" s="458">
        <f t="shared" si="45"/>
        <v>0</v>
      </c>
      <c r="H657" s="457"/>
      <c r="I657" s="461"/>
      <c r="J657" s="459">
        <f t="shared" si="47"/>
        <v>0</v>
      </c>
      <c r="K657" s="460"/>
      <c r="M657">
        <f t="shared" si="43"/>
        <v>0</v>
      </c>
      <c r="N657" s="415"/>
      <c r="O657" s="415"/>
    </row>
    <row r="658" customFormat="1" ht="20" hidden="1" customHeight="1" spans="1:17">
      <c r="A658" s="418">
        <v>2100407</v>
      </c>
      <c r="B658" s="239" t="s">
        <v>624</v>
      </c>
      <c r="C658" s="464">
        <v>0</v>
      </c>
      <c r="D658" s="461"/>
      <c r="E658" s="464">
        <v>0</v>
      </c>
      <c r="F658" s="457"/>
      <c r="G658" s="458">
        <f t="shared" si="45"/>
        <v>0</v>
      </c>
      <c r="H658" s="457"/>
      <c r="I658" s="461"/>
      <c r="J658" s="459">
        <f t="shared" si="47"/>
        <v>0</v>
      </c>
      <c r="K658" s="460"/>
      <c r="M658">
        <f t="shared" si="43"/>
        <v>0</v>
      </c>
      <c r="N658" s="415"/>
      <c r="O658" s="415"/>
    </row>
    <row r="659" customFormat="1" ht="20" hidden="1" customHeight="1" spans="1:17">
      <c r="A659" s="418">
        <v>2100408</v>
      </c>
      <c r="B659" s="239" t="s">
        <v>625</v>
      </c>
      <c r="C659" s="464">
        <v>2772.706825</v>
      </c>
      <c r="D659" s="466">
        <f>411.359+2327.25+882.96362-110</f>
        <v>3511.57262</v>
      </c>
      <c r="E659" s="464">
        <v>4044</v>
      </c>
      <c r="F659" s="457">
        <f t="shared" si="44"/>
        <v>115.162078009368</v>
      </c>
      <c r="G659" s="458">
        <f t="shared" si="45"/>
        <v>1271.293175</v>
      </c>
      <c r="H659" s="457">
        <f t="shared" si="46"/>
        <v>45.8502559137315</v>
      </c>
      <c r="I659" s="462">
        <f>423.072+2404.04+271.76</f>
        <v>3098.872</v>
      </c>
      <c r="J659" s="459">
        <f t="shared" si="47"/>
        <v>-412.70062</v>
      </c>
      <c r="K659" s="460">
        <f t="shared" si="48"/>
        <v>-11.7525867940046</v>
      </c>
      <c r="M659">
        <f t="shared" si="43"/>
        <v>389</v>
      </c>
      <c r="N659" s="415">
        <v>389</v>
      </c>
      <c r="O659" s="415"/>
      <c r="P659">
        <v>2322</v>
      </c>
      <c r="Q659">
        <v>711</v>
      </c>
    </row>
    <row r="660" customFormat="1" ht="20" hidden="1" customHeight="1" spans="1:17">
      <c r="A660" s="418">
        <v>2100409</v>
      </c>
      <c r="B660" s="239" t="s">
        <v>626</v>
      </c>
      <c r="C660" s="464">
        <v>141.746164</v>
      </c>
      <c r="D660" s="466">
        <f>26.28+364.76+532.013536</f>
        <v>923.053536</v>
      </c>
      <c r="E660" s="464">
        <v>583</v>
      </c>
      <c r="F660" s="457">
        <f t="shared" si="44"/>
        <v>63.1599335534098</v>
      </c>
      <c r="G660" s="458">
        <f t="shared" si="45"/>
        <v>441.253836</v>
      </c>
      <c r="H660" s="457">
        <f t="shared" si="46"/>
        <v>311.298608405375</v>
      </c>
      <c r="I660" s="462">
        <f>39.42+209.17+354.124</f>
        <v>602.714</v>
      </c>
      <c r="J660" s="459">
        <f t="shared" si="47"/>
        <v>-320.339536</v>
      </c>
      <c r="K660" s="460">
        <f t="shared" si="48"/>
        <v>-34.7043290022129</v>
      </c>
      <c r="M660">
        <f t="shared" si="43"/>
        <v>13</v>
      </c>
      <c r="N660" s="415">
        <v>13</v>
      </c>
      <c r="O660" s="415"/>
      <c r="P660">
        <v>447</v>
      </c>
      <c r="Q660">
        <v>161</v>
      </c>
    </row>
    <row r="661" customFormat="1" ht="20" hidden="1" customHeight="1" spans="1:17">
      <c r="A661" s="418">
        <v>2100410</v>
      </c>
      <c r="B661" s="239" t="s">
        <v>627</v>
      </c>
      <c r="C661" s="464">
        <v>133.969207</v>
      </c>
      <c r="D661" s="461"/>
      <c r="E661" s="464"/>
      <c r="F661" s="457"/>
      <c r="G661" s="458">
        <f t="shared" si="45"/>
        <v>-133.969207</v>
      </c>
      <c r="H661" s="457">
        <f t="shared" si="46"/>
        <v>-100</v>
      </c>
      <c r="I661" s="461"/>
      <c r="J661" s="459">
        <f t="shared" si="47"/>
        <v>0</v>
      </c>
      <c r="K661" s="460"/>
      <c r="M661">
        <f t="shared" si="43"/>
        <v>0</v>
      </c>
      <c r="N661" s="415"/>
      <c r="O661" s="415"/>
      <c r="Q661">
        <v>200</v>
      </c>
    </row>
    <row r="662" customFormat="1" ht="20" hidden="1" customHeight="1" spans="1:17">
      <c r="A662" s="418">
        <v>2100499</v>
      </c>
      <c r="B662" s="239" t="s">
        <v>628</v>
      </c>
      <c r="C662" s="464">
        <v>161.5395</v>
      </c>
      <c r="D662" s="461"/>
      <c r="E662" s="464">
        <v>4</v>
      </c>
      <c r="F662" s="457"/>
      <c r="G662" s="458">
        <f t="shared" si="45"/>
        <v>-157.5395</v>
      </c>
      <c r="H662" s="457">
        <f t="shared" si="46"/>
        <v>-97.5238254420745</v>
      </c>
      <c r="I662" s="462">
        <f>16.2+113.2</f>
        <v>129.4</v>
      </c>
      <c r="J662" s="459">
        <f t="shared" si="47"/>
        <v>129.4</v>
      </c>
      <c r="K662" s="460"/>
      <c r="M662">
        <f t="shared" si="43"/>
        <v>0</v>
      </c>
      <c r="N662" s="415"/>
      <c r="O662" s="415"/>
      <c r="Q662">
        <v>505</v>
      </c>
    </row>
    <row r="663" customFormat="1" ht="20" hidden="1" customHeight="1" spans="1:17">
      <c r="A663" s="416">
        <v>21006</v>
      </c>
      <c r="B663" s="427" t="s">
        <v>629</v>
      </c>
      <c r="C663" s="464"/>
      <c r="D663" s="461"/>
      <c r="E663" s="464"/>
      <c r="F663" s="457"/>
      <c r="G663" s="458">
        <f t="shared" si="45"/>
        <v>0</v>
      </c>
      <c r="H663" s="457"/>
      <c r="I663" s="461"/>
      <c r="J663" s="459">
        <f t="shared" si="47"/>
        <v>0</v>
      </c>
      <c r="K663" s="460"/>
      <c r="N663" s="415"/>
      <c r="O663" s="415"/>
    </row>
    <row r="664" customFormat="1" ht="20" hidden="1" customHeight="1" spans="1:17">
      <c r="A664" s="418">
        <v>2100601</v>
      </c>
      <c r="B664" s="434" t="s">
        <v>630</v>
      </c>
      <c r="C664" s="464"/>
      <c r="D664" s="461"/>
      <c r="E664" s="464"/>
      <c r="F664" s="457"/>
      <c r="G664" s="458">
        <f t="shared" si="45"/>
        <v>0</v>
      </c>
      <c r="H664" s="457"/>
      <c r="I664" s="461"/>
      <c r="J664" s="459">
        <f t="shared" si="47"/>
        <v>0</v>
      </c>
      <c r="K664" s="460"/>
      <c r="N664" s="415"/>
      <c r="O664" s="415"/>
    </row>
    <row r="665" customFormat="1" ht="20" hidden="1" customHeight="1" spans="1:17">
      <c r="A665" s="418">
        <v>2100699</v>
      </c>
      <c r="B665" s="434" t="s">
        <v>631</v>
      </c>
      <c r="C665" s="464"/>
      <c r="D665" s="461"/>
      <c r="E665" s="464"/>
      <c r="F665" s="457"/>
      <c r="G665" s="458">
        <f t="shared" si="45"/>
        <v>0</v>
      </c>
      <c r="H665" s="457"/>
      <c r="I665" s="461"/>
      <c r="J665" s="459">
        <f t="shared" si="47"/>
        <v>0</v>
      </c>
      <c r="K665" s="460"/>
      <c r="N665" s="415"/>
      <c r="O665" s="415"/>
    </row>
    <row r="666" customFormat="1" ht="20" hidden="1" customHeight="1" spans="1:17">
      <c r="A666" s="416">
        <v>21007</v>
      </c>
      <c r="B666" s="427" t="s">
        <v>632</v>
      </c>
      <c r="C666" s="456">
        <f>SUM(C667:C669)</f>
        <v>3291.552408</v>
      </c>
      <c r="D666" s="456">
        <f>SUM(D667:D669)</f>
        <v>1323.93</v>
      </c>
      <c r="E666" s="456">
        <f>SUM(E667:E669)</f>
        <v>2821</v>
      </c>
      <c r="F666" s="457">
        <f t="shared" si="44"/>
        <v>213.077730695732</v>
      </c>
      <c r="G666" s="458">
        <f t="shared" si="45"/>
        <v>-470.552408</v>
      </c>
      <c r="H666" s="457">
        <f t="shared" si="46"/>
        <v>-14.295759255005</v>
      </c>
      <c r="I666" s="456">
        <f>SUM(I667:I669)</f>
        <v>1774.3</v>
      </c>
      <c r="J666" s="459">
        <f t="shared" si="47"/>
        <v>450.37</v>
      </c>
      <c r="K666" s="460">
        <f t="shared" si="48"/>
        <v>34.0176595439336</v>
      </c>
      <c r="M666">
        <f t="shared" ref="M666:M697" si="49">N666+O666</f>
        <v>0</v>
      </c>
      <c r="N666" s="415"/>
      <c r="O666" s="415"/>
    </row>
    <row r="667" customFormat="1" ht="20" hidden="1" customHeight="1" spans="1:17">
      <c r="A667" s="418">
        <v>2100716</v>
      </c>
      <c r="B667" s="239" t="s">
        <v>633</v>
      </c>
      <c r="C667" s="464">
        <v>0</v>
      </c>
      <c r="D667" s="461"/>
      <c r="E667" s="464">
        <v>0</v>
      </c>
      <c r="F667" s="457"/>
      <c r="G667" s="458">
        <f t="shared" si="45"/>
        <v>0</v>
      </c>
      <c r="H667" s="457"/>
      <c r="I667" s="461"/>
      <c r="J667" s="459">
        <f t="shared" si="47"/>
        <v>0</v>
      </c>
      <c r="K667" s="460"/>
      <c r="M667">
        <f t="shared" si="49"/>
        <v>0</v>
      </c>
      <c r="N667" s="415"/>
      <c r="O667" s="415"/>
    </row>
    <row r="668" customFormat="1" ht="20" hidden="1" customHeight="1" spans="1:17">
      <c r="A668" s="418">
        <v>2100717</v>
      </c>
      <c r="B668" s="239" t="s">
        <v>634</v>
      </c>
      <c r="C668" s="464">
        <v>1419.898</v>
      </c>
      <c r="D668" s="466">
        <f>1323.93</f>
        <v>1323.93</v>
      </c>
      <c r="E668" s="464">
        <v>2593</v>
      </c>
      <c r="F668" s="457">
        <f t="shared" si="44"/>
        <v>195.856276389235</v>
      </c>
      <c r="G668" s="458">
        <f t="shared" si="45"/>
        <v>1173.102</v>
      </c>
      <c r="H668" s="457">
        <f t="shared" si="46"/>
        <v>82.6187514877829</v>
      </c>
      <c r="I668" s="462">
        <f>237.9+453.84+1057.36</f>
        <v>1749.1</v>
      </c>
      <c r="J668" s="459">
        <f t="shared" si="47"/>
        <v>425.17</v>
      </c>
      <c r="K668" s="460">
        <f t="shared" si="48"/>
        <v>32.1142356468997</v>
      </c>
      <c r="M668">
        <f t="shared" si="49"/>
        <v>270</v>
      </c>
      <c r="N668" s="415">
        <v>270</v>
      </c>
      <c r="O668" s="415"/>
      <c r="Q668">
        <v>625</v>
      </c>
    </row>
    <row r="669" customFormat="1" ht="20" hidden="1" customHeight="1" spans="1:17">
      <c r="A669" s="418">
        <v>2100799</v>
      </c>
      <c r="B669" s="239" t="s">
        <v>635</v>
      </c>
      <c r="C669" s="464">
        <v>1871.654408</v>
      </c>
      <c r="D669" s="461"/>
      <c r="E669" s="464">
        <v>228</v>
      </c>
      <c r="F669" s="457"/>
      <c r="G669" s="458">
        <f t="shared" si="45"/>
        <v>-1643.654408</v>
      </c>
      <c r="H669" s="457">
        <f t="shared" si="46"/>
        <v>-87.8182639366829</v>
      </c>
      <c r="I669" s="462">
        <v>25.2</v>
      </c>
      <c r="J669" s="459">
        <f t="shared" si="47"/>
        <v>25.2</v>
      </c>
      <c r="K669" s="460"/>
      <c r="M669">
        <f t="shared" si="49"/>
        <v>261</v>
      </c>
      <c r="N669" s="415">
        <v>261</v>
      </c>
      <c r="O669" s="415"/>
      <c r="P669">
        <v>1148</v>
      </c>
      <c r="Q669">
        <v>77</v>
      </c>
    </row>
    <row r="670" customFormat="1" ht="20" hidden="1" customHeight="1" spans="1:17">
      <c r="A670" s="416">
        <v>21011</v>
      </c>
      <c r="B670" s="427" t="s">
        <v>636</v>
      </c>
      <c r="C670" s="456">
        <f>SUM(C671:C674)</f>
        <v>6998.011369</v>
      </c>
      <c r="D670" s="456">
        <f>SUM(D671:D674)</f>
        <v>5826.704949</v>
      </c>
      <c r="E670" s="456">
        <f>SUM(E671:E674)</f>
        <v>6020</v>
      </c>
      <c r="F670" s="457">
        <f t="shared" si="44"/>
        <v>103.317398987796</v>
      </c>
      <c r="G670" s="458">
        <f t="shared" si="45"/>
        <v>-978.011369</v>
      </c>
      <c r="H670" s="457">
        <f t="shared" si="46"/>
        <v>-13.9755613049219</v>
      </c>
      <c r="I670" s="456">
        <f>SUM(I671:I674)</f>
        <v>6325.49</v>
      </c>
      <c r="J670" s="459">
        <f t="shared" si="47"/>
        <v>498.785051</v>
      </c>
      <c r="K670" s="460">
        <f t="shared" si="48"/>
        <v>8.56032792746101</v>
      </c>
      <c r="M670">
        <f t="shared" si="49"/>
        <v>0</v>
      </c>
      <c r="N670" s="415"/>
      <c r="O670" s="415"/>
    </row>
    <row r="671" s="278" customFormat="1" ht="20" hidden="1" customHeight="1" spans="1:17">
      <c r="A671" s="418">
        <v>2101101</v>
      </c>
      <c r="B671" s="433" t="s">
        <v>637</v>
      </c>
      <c r="C671" s="464">
        <v>1770.494032</v>
      </c>
      <c r="D671" s="461">
        <v>1479.247802</v>
      </c>
      <c r="E671" s="464">
        <v>1562</v>
      </c>
      <c r="F671" s="457">
        <f t="shared" si="44"/>
        <v>105.594207940557</v>
      </c>
      <c r="G671" s="458">
        <f t="shared" si="45"/>
        <v>-208.494032</v>
      </c>
      <c r="H671" s="457">
        <f t="shared" si="46"/>
        <v>-11.7760369835576</v>
      </c>
      <c r="I671" s="461">
        <v>1564.77</v>
      </c>
      <c r="J671" s="459">
        <f t="shared" si="47"/>
        <v>85.5221979999999</v>
      </c>
      <c r="K671" s="460">
        <f t="shared" si="48"/>
        <v>5.78146527474103</v>
      </c>
      <c r="M671" s="278">
        <f t="shared" si="49"/>
        <v>1776</v>
      </c>
      <c r="N671" s="415">
        <v>1776</v>
      </c>
      <c r="O671" s="415"/>
    </row>
    <row r="672" s="278" customFormat="1" ht="20" hidden="1" customHeight="1" spans="1:17">
      <c r="A672" s="418">
        <v>2101102</v>
      </c>
      <c r="B672" s="433" t="s">
        <v>638</v>
      </c>
      <c r="C672" s="464">
        <v>4095.608925</v>
      </c>
      <c r="D672" s="461">
        <v>3179.369471</v>
      </c>
      <c r="E672" s="464">
        <v>3402</v>
      </c>
      <c r="F672" s="457">
        <f t="shared" si="44"/>
        <v>107.002348454015</v>
      </c>
      <c r="G672" s="458">
        <f t="shared" si="45"/>
        <v>-693.608925</v>
      </c>
      <c r="H672" s="457">
        <f t="shared" si="46"/>
        <v>-16.9354285944184</v>
      </c>
      <c r="I672" s="461">
        <v>3564.28</v>
      </c>
      <c r="J672" s="459">
        <f t="shared" si="47"/>
        <v>384.910529</v>
      </c>
      <c r="K672" s="460">
        <f t="shared" si="48"/>
        <v>12.1065051580474</v>
      </c>
      <c r="M672" s="278">
        <f t="shared" si="49"/>
        <v>3985</v>
      </c>
      <c r="N672" s="415">
        <v>3985</v>
      </c>
      <c r="O672" s="415"/>
    </row>
    <row r="673" s="278" customFormat="1" ht="20" hidden="1" customHeight="1" spans="1:17">
      <c r="A673" s="418">
        <v>2101103</v>
      </c>
      <c r="B673" s="433" t="s">
        <v>639</v>
      </c>
      <c r="C673" s="464">
        <v>1080.617648</v>
      </c>
      <c r="D673" s="461">
        <v>1067.835676</v>
      </c>
      <c r="E673" s="464">
        <v>998</v>
      </c>
      <c r="F673" s="457">
        <f t="shared" si="44"/>
        <v>93.460072783708</v>
      </c>
      <c r="G673" s="458">
        <f t="shared" si="45"/>
        <v>-82.6176479999999</v>
      </c>
      <c r="H673" s="457">
        <f t="shared" si="46"/>
        <v>-7.64540984065068</v>
      </c>
      <c r="I673" s="461">
        <v>1116.15</v>
      </c>
      <c r="J673" s="459">
        <f t="shared" si="47"/>
        <v>48.3143240000002</v>
      </c>
      <c r="K673" s="460">
        <f t="shared" si="48"/>
        <v>4.52450925604776</v>
      </c>
      <c r="M673" s="278">
        <f t="shared" si="49"/>
        <v>1152</v>
      </c>
      <c r="N673" s="415">
        <v>1152</v>
      </c>
      <c r="O673" s="415"/>
    </row>
    <row r="674" s="278" customFormat="1" ht="20" hidden="1" customHeight="1" spans="1:17">
      <c r="A674" s="418">
        <v>2101199</v>
      </c>
      <c r="B674" s="433" t="s">
        <v>640</v>
      </c>
      <c r="C674" s="464">
        <v>51.290764</v>
      </c>
      <c r="D674" s="461">
        <v>100.252</v>
      </c>
      <c r="E674" s="464">
        <v>58</v>
      </c>
      <c r="F674" s="457">
        <f t="shared" si="44"/>
        <v>57.8542073973587</v>
      </c>
      <c r="G674" s="458">
        <f t="shared" si="45"/>
        <v>6.709236</v>
      </c>
      <c r="H674" s="457">
        <f t="shared" si="46"/>
        <v>13.0807878003143</v>
      </c>
      <c r="I674" s="461">
        <v>80.29</v>
      </c>
      <c r="J674" s="459">
        <f t="shared" si="47"/>
        <v>-19.962</v>
      </c>
      <c r="K674" s="460">
        <f t="shared" si="48"/>
        <v>-19.9118222080357</v>
      </c>
      <c r="M674" s="278">
        <f t="shared" si="49"/>
        <v>235</v>
      </c>
      <c r="N674" s="415">
        <v>235</v>
      </c>
      <c r="O674" s="415"/>
    </row>
    <row r="675" customFormat="1" ht="20" hidden="1" customHeight="1" spans="1:17">
      <c r="A675" s="416">
        <v>21012</v>
      </c>
      <c r="B675" s="427" t="s">
        <v>641</v>
      </c>
      <c r="C675" s="456">
        <f>SUM(C676:C678)</f>
        <v>2034.8972</v>
      </c>
      <c r="D675" s="456">
        <f>SUM(D676:D678)</f>
        <v>2157.4</v>
      </c>
      <c r="E675" s="456">
        <f>SUM(E676:E678)</f>
        <v>2060</v>
      </c>
      <c r="F675" s="457">
        <f t="shared" si="44"/>
        <v>95.4853063873181</v>
      </c>
      <c r="G675" s="458">
        <f t="shared" si="45"/>
        <v>25.1027999999999</v>
      </c>
      <c r="H675" s="457">
        <f t="shared" si="46"/>
        <v>1.233615142819</v>
      </c>
      <c r="I675" s="456">
        <f>SUM(I676:I678)</f>
        <v>48.2</v>
      </c>
      <c r="J675" s="459">
        <f t="shared" si="47"/>
        <v>-2109.2</v>
      </c>
      <c r="K675" s="460">
        <f t="shared" si="48"/>
        <v>-97.7658292388987</v>
      </c>
      <c r="M675">
        <f t="shared" si="49"/>
        <v>0</v>
      </c>
      <c r="N675" s="415"/>
      <c r="O675" s="415"/>
    </row>
    <row r="676" s="278" customFormat="1" ht="20" hidden="1" customHeight="1" spans="1:17">
      <c r="A676" s="418">
        <v>2101201</v>
      </c>
      <c r="B676" s="433" t="s">
        <v>642</v>
      </c>
      <c r="C676" s="464">
        <v>0</v>
      </c>
      <c r="D676" s="461"/>
      <c r="E676" s="464">
        <v>0</v>
      </c>
      <c r="F676" s="457"/>
      <c r="G676" s="458">
        <f t="shared" si="45"/>
        <v>0</v>
      </c>
      <c r="H676" s="457"/>
      <c r="I676" s="462">
        <v>36.15</v>
      </c>
      <c r="J676" s="459">
        <f t="shared" si="47"/>
        <v>36.15</v>
      </c>
      <c r="K676" s="460"/>
      <c r="M676" s="278">
        <f t="shared" si="49"/>
        <v>0</v>
      </c>
      <c r="N676" s="415"/>
      <c r="O676" s="415"/>
    </row>
    <row r="677" s="278" customFormat="1" ht="20" hidden="1" customHeight="1" spans="1:17">
      <c r="A677" s="418">
        <v>2101202</v>
      </c>
      <c r="B677" s="433" t="s">
        <v>643</v>
      </c>
      <c r="C677" s="464">
        <v>2034.8972</v>
      </c>
      <c r="D677" s="466">
        <v>2157.4</v>
      </c>
      <c r="E677" s="464">
        <v>2060</v>
      </c>
      <c r="F677" s="457">
        <f t="shared" si="44"/>
        <v>95.4853063873181</v>
      </c>
      <c r="G677" s="458">
        <f t="shared" si="45"/>
        <v>25.1027999999999</v>
      </c>
      <c r="H677" s="457">
        <f t="shared" si="46"/>
        <v>1.233615142819</v>
      </c>
      <c r="I677" s="462">
        <v>12.05</v>
      </c>
      <c r="J677" s="459">
        <f t="shared" si="47"/>
        <v>-2145.35</v>
      </c>
      <c r="K677" s="460">
        <f t="shared" si="48"/>
        <v>-99.4414573097247</v>
      </c>
      <c r="M677" s="278">
        <f t="shared" si="49"/>
        <v>2080</v>
      </c>
      <c r="N677" s="415">
        <v>2080</v>
      </c>
      <c r="O677" s="415"/>
    </row>
    <row r="678" s="278" customFormat="1" ht="20" hidden="1" customHeight="1" spans="1:17">
      <c r="A678" s="418">
        <v>2101299</v>
      </c>
      <c r="B678" s="433" t="s">
        <v>644</v>
      </c>
      <c r="C678" s="464">
        <v>0</v>
      </c>
      <c r="D678" s="461"/>
      <c r="E678" s="464">
        <v>0</v>
      </c>
      <c r="F678" s="457"/>
      <c r="G678" s="458">
        <f t="shared" si="45"/>
        <v>0</v>
      </c>
      <c r="H678" s="457"/>
      <c r="I678" s="461"/>
      <c r="J678" s="459">
        <f t="shared" si="47"/>
        <v>0</v>
      </c>
      <c r="K678" s="460"/>
      <c r="M678" s="278">
        <f t="shared" si="49"/>
        <v>0</v>
      </c>
      <c r="N678" s="415"/>
      <c r="O678" s="415"/>
    </row>
    <row r="679" customFormat="1" ht="20" hidden="1" customHeight="1" spans="1:17">
      <c r="A679" s="416">
        <v>21013</v>
      </c>
      <c r="B679" s="427" t="s">
        <v>645</v>
      </c>
      <c r="C679" s="470">
        <f>SUM(C680:C682)</f>
        <v>2343</v>
      </c>
      <c r="D679" s="470">
        <f>SUM(D680:D682)</f>
        <v>2731.784</v>
      </c>
      <c r="E679" s="470">
        <f>SUM(E680:E682)</f>
        <v>3753</v>
      </c>
      <c r="F679" s="457">
        <f t="shared" si="44"/>
        <v>137.382750612786</v>
      </c>
      <c r="G679" s="458">
        <f t="shared" si="45"/>
        <v>1410</v>
      </c>
      <c r="H679" s="457">
        <f t="shared" si="46"/>
        <v>60.179257362356</v>
      </c>
      <c r="I679" s="470">
        <f>SUM(I680:I682)</f>
        <v>2924</v>
      </c>
      <c r="J679" s="459">
        <f t="shared" si="47"/>
        <v>192.216</v>
      </c>
      <c r="K679" s="460">
        <f t="shared" si="48"/>
        <v>7.03628105296758</v>
      </c>
      <c r="M679">
        <f t="shared" si="49"/>
        <v>0</v>
      </c>
      <c r="N679" s="415"/>
      <c r="O679" s="415"/>
    </row>
    <row r="680" s="278" customFormat="1" ht="20" hidden="1" customHeight="1" spans="1:17">
      <c r="A680" s="418">
        <v>2101301</v>
      </c>
      <c r="B680" s="433" t="s">
        <v>646</v>
      </c>
      <c r="C680" s="464">
        <v>2343</v>
      </c>
      <c r="D680" s="466">
        <f>1503.784+1228</f>
        <v>2731.784</v>
      </c>
      <c r="E680" s="464">
        <v>3753</v>
      </c>
      <c r="F680" s="457">
        <f t="shared" si="44"/>
        <v>137.382750612786</v>
      </c>
      <c r="G680" s="458">
        <f t="shared" si="45"/>
        <v>1410</v>
      </c>
      <c r="H680" s="457">
        <f t="shared" si="46"/>
        <v>60.179257362356</v>
      </c>
      <c r="I680" s="462">
        <f>761+2003</f>
        <v>2764</v>
      </c>
      <c r="J680" s="459">
        <f t="shared" si="47"/>
        <v>32.2159999999999</v>
      </c>
      <c r="K680" s="460">
        <f t="shared" si="48"/>
        <v>1.17930260957674</v>
      </c>
      <c r="M680" s="278">
        <f t="shared" si="49"/>
        <v>600</v>
      </c>
      <c r="N680" s="415">
        <v>600</v>
      </c>
      <c r="O680" s="415"/>
      <c r="P680" s="278">
        <v>1228</v>
      </c>
    </row>
    <row r="681" s="278" customFormat="1" ht="20" hidden="1" customHeight="1" spans="1:17">
      <c r="A681" s="418">
        <v>2101302</v>
      </c>
      <c r="B681" s="433" t="s">
        <v>647</v>
      </c>
      <c r="C681" s="464">
        <v>0</v>
      </c>
      <c r="D681" s="461"/>
      <c r="E681" s="464">
        <v>0</v>
      </c>
      <c r="F681" s="457"/>
      <c r="G681" s="458">
        <f t="shared" si="45"/>
        <v>0</v>
      </c>
      <c r="H681" s="457"/>
      <c r="I681" s="461"/>
      <c r="J681" s="459">
        <f t="shared" si="47"/>
        <v>0</v>
      </c>
      <c r="K681" s="460"/>
      <c r="M681" s="278">
        <f t="shared" si="49"/>
        <v>0</v>
      </c>
      <c r="N681" s="415"/>
      <c r="O681" s="415"/>
    </row>
    <row r="682" s="278" customFormat="1" ht="20" hidden="1" customHeight="1" spans="1:17">
      <c r="A682" s="418">
        <v>2101399</v>
      </c>
      <c r="B682" s="433" t="s">
        <v>648</v>
      </c>
      <c r="C682" s="464">
        <v>0</v>
      </c>
      <c r="D682" s="461"/>
      <c r="E682" s="464">
        <v>0</v>
      </c>
      <c r="F682" s="457"/>
      <c r="G682" s="458">
        <f t="shared" si="45"/>
        <v>0</v>
      </c>
      <c r="H682" s="457"/>
      <c r="I682" s="462">
        <v>160</v>
      </c>
      <c r="J682" s="459">
        <f t="shared" si="47"/>
        <v>160</v>
      </c>
      <c r="K682" s="460"/>
      <c r="M682" s="278">
        <f t="shared" si="49"/>
        <v>0</v>
      </c>
      <c r="N682" s="415"/>
      <c r="O682" s="415"/>
    </row>
    <row r="683" customFormat="1" hidden="1" spans="1:17">
      <c r="A683" s="416">
        <v>21014</v>
      </c>
      <c r="B683" s="427" t="s">
        <v>649</v>
      </c>
      <c r="C683" s="470">
        <f>SUM(C684:C685)</f>
        <v>99.641411</v>
      </c>
      <c r="D683" s="470">
        <f>SUM(D684:D685)</f>
        <v>16.16</v>
      </c>
      <c r="E683" s="470">
        <f>SUM(E684:E685)</f>
        <v>77</v>
      </c>
      <c r="F683" s="457">
        <f t="shared" si="44"/>
        <v>476.485148514851</v>
      </c>
      <c r="G683" s="458">
        <f t="shared" si="45"/>
        <v>-22.641411</v>
      </c>
      <c r="H683" s="457">
        <f t="shared" si="46"/>
        <v>-22.7228927940412</v>
      </c>
      <c r="I683" s="470">
        <f>SUM(I684:I685)</f>
        <v>155.33</v>
      </c>
      <c r="J683" s="459">
        <f t="shared" si="47"/>
        <v>139.17</v>
      </c>
      <c r="K683" s="460">
        <f t="shared" si="48"/>
        <v>861.200495049505</v>
      </c>
      <c r="M683">
        <f t="shared" si="49"/>
        <v>0</v>
      </c>
      <c r="N683" s="415"/>
      <c r="O683" s="415"/>
    </row>
    <row r="684" s="278" customFormat="1" ht="20" hidden="1" customHeight="1" spans="1:17">
      <c r="A684" s="418">
        <v>2101401</v>
      </c>
      <c r="B684" s="433" t="s">
        <v>650</v>
      </c>
      <c r="C684" s="464">
        <v>99.641411</v>
      </c>
      <c r="D684" s="461">
        <f>13.53+2.63</f>
        <v>16.16</v>
      </c>
      <c r="E684" s="464">
        <v>77</v>
      </c>
      <c r="F684" s="457">
        <f t="shared" si="44"/>
        <v>476.485148514851</v>
      </c>
      <c r="G684" s="458">
        <f t="shared" si="45"/>
        <v>-22.641411</v>
      </c>
      <c r="H684" s="457">
        <f t="shared" si="46"/>
        <v>-22.7228927940412</v>
      </c>
      <c r="I684" s="461">
        <f>19.16+118.47+17.7</f>
        <v>155.33</v>
      </c>
      <c r="J684" s="459">
        <f t="shared" si="47"/>
        <v>139.17</v>
      </c>
      <c r="K684" s="460">
        <f t="shared" si="48"/>
        <v>861.200495049505</v>
      </c>
      <c r="M684" s="278">
        <f t="shared" si="49"/>
        <v>0</v>
      </c>
      <c r="N684" s="415"/>
      <c r="O684" s="415"/>
      <c r="P684" s="278">
        <v>136</v>
      </c>
      <c r="Q684" s="278">
        <v>35</v>
      </c>
    </row>
    <row r="685" s="278" customFormat="1" ht="20" hidden="1" customHeight="1" spans="1:17">
      <c r="A685" s="418">
        <v>2101499</v>
      </c>
      <c r="B685" s="433" t="s">
        <v>651</v>
      </c>
      <c r="C685" s="464">
        <v>0</v>
      </c>
      <c r="D685" s="461"/>
      <c r="E685" s="464">
        <v>0</v>
      </c>
      <c r="F685" s="457"/>
      <c r="G685" s="458">
        <f t="shared" si="45"/>
        <v>0</v>
      </c>
      <c r="H685" s="457"/>
      <c r="I685" s="461"/>
      <c r="J685" s="459">
        <f t="shared" si="47"/>
        <v>0</v>
      </c>
      <c r="K685" s="460"/>
      <c r="M685" s="278">
        <f t="shared" si="49"/>
        <v>0</v>
      </c>
      <c r="N685" s="415"/>
      <c r="O685" s="415"/>
    </row>
    <row r="686" customFormat="1" ht="20" hidden="1" customHeight="1" spans="1:17">
      <c r="A686" s="416">
        <v>21015</v>
      </c>
      <c r="B686" s="427" t="s">
        <v>652</v>
      </c>
      <c r="C686" s="456">
        <f>SUM(C687:C692)</f>
        <v>498.809886</v>
      </c>
      <c r="D686" s="456">
        <f>SUM(D687:D692)</f>
        <v>489.247066</v>
      </c>
      <c r="E686" s="456">
        <f>SUM(E687:E692)</f>
        <v>508</v>
      </c>
      <c r="F686" s="457">
        <f t="shared" si="44"/>
        <v>103.833019205066</v>
      </c>
      <c r="G686" s="458">
        <f t="shared" si="45"/>
        <v>9.19011399999999</v>
      </c>
      <c r="H686" s="457">
        <f t="shared" si="46"/>
        <v>1.84240815146955</v>
      </c>
      <c r="I686" s="456">
        <f>SUM(I687:I692)</f>
        <v>468.060993</v>
      </c>
      <c r="J686" s="459">
        <f t="shared" si="47"/>
        <v>-21.186073</v>
      </c>
      <c r="K686" s="460">
        <f t="shared" si="48"/>
        <v>-4.33034237143489</v>
      </c>
      <c r="M686">
        <f t="shared" si="49"/>
        <v>0</v>
      </c>
      <c r="N686" s="415"/>
      <c r="O686" s="415"/>
    </row>
    <row r="687" s="278" customFormat="1" ht="20" hidden="1" customHeight="1" spans="1:17">
      <c r="A687" s="418">
        <v>2101501</v>
      </c>
      <c r="B687" s="433" t="s">
        <v>165</v>
      </c>
      <c r="C687" s="464">
        <v>71.990211</v>
      </c>
      <c r="D687" s="466">
        <v>71.541249</v>
      </c>
      <c r="E687" s="464">
        <v>70</v>
      </c>
      <c r="F687" s="457">
        <f t="shared" si="44"/>
        <v>97.8456498571894</v>
      </c>
      <c r="G687" s="458">
        <f t="shared" si="45"/>
        <v>-1.990211</v>
      </c>
      <c r="H687" s="457">
        <f t="shared" si="46"/>
        <v>-2.76455780911658</v>
      </c>
      <c r="I687" s="462">
        <v>68.749326</v>
      </c>
      <c r="J687" s="459">
        <f t="shared" si="47"/>
        <v>-2.791923</v>
      </c>
      <c r="K687" s="460">
        <f t="shared" si="48"/>
        <v>-3.90253600408905</v>
      </c>
      <c r="M687" s="278">
        <f t="shared" si="49"/>
        <v>72</v>
      </c>
      <c r="N687" s="415">
        <v>72</v>
      </c>
      <c r="O687" s="415"/>
    </row>
    <row r="688" customFormat="1" ht="20" hidden="1" customHeight="1" spans="1:17">
      <c r="A688" s="418">
        <v>2101502</v>
      </c>
      <c r="B688" s="239" t="s">
        <v>166</v>
      </c>
      <c r="C688" s="464">
        <v>9.28505</v>
      </c>
      <c r="D688" s="461"/>
      <c r="E688" s="464"/>
      <c r="F688" s="457"/>
      <c r="G688" s="458">
        <f t="shared" si="45"/>
        <v>-9.28505</v>
      </c>
      <c r="H688" s="457">
        <f t="shared" si="46"/>
        <v>-100</v>
      </c>
      <c r="I688" s="461"/>
      <c r="J688" s="459">
        <f t="shared" si="47"/>
        <v>0</v>
      </c>
      <c r="K688" s="460"/>
      <c r="M688">
        <f t="shared" si="49"/>
        <v>0</v>
      </c>
      <c r="N688" s="415"/>
      <c r="O688" s="415"/>
    </row>
    <row r="689" s="278" customFormat="1" ht="20" hidden="1" customHeight="1" spans="1:17">
      <c r="A689" s="418">
        <v>2101505</v>
      </c>
      <c r="B689" s="433" t="s">
        <v>653</v>
      </c>
      <c r="C689" s="464">
        <v>0</v>
      </c>
      <c r="D689" s="461"/>
      <c r="E689" s="464">
        <v>0</v>
      </c>
      <c r="F689" s="457"/>
      <c r="G689" s="458">
        <f t="shared" si="45"/>
        <v>0</v>
      </c>
      <c r="H689" s="457"/>
      <c r="I689" s="461"/>
      <c r="J689" s="459">
        <f t="shared" si="47"/>
        <v>0</v>
      </c>
      <c r="K689" s="460"/>
      <c r="M689" s="278">
        <f t="shared" si="49"/>
        <v>0</v>
      </c>
      <c r="N689" s="415"/>
      <c r="O689" s="415"/>
      <c r="P689" s="278">
        <v>79</v>
      </c>
    </row>
    <row r="690" s="278" customFormat="1" ht="20" hidden="1" customHeight="1" spans="1:17">
      <c r="A690" s="418">
        <v>2101506</v>
      </c>
      <c r="B690" s="433" t="s">
        <v>654</v>
      </c>
      <c r="C690" s="464">
        <v>0</v>
      </c>
      <c r="D690" s="461"/>
      <c r="E690" s="464">
        <v>0</v>
      </c>
      <c r="F690" s="457"/>
      <c r="G690" s="458">
        <f t="shared" si="45"/>
        <v>0</v>
      </c>
      <c r="H690" s="457"/>
      <c r="I690" s="461"/>
      <c r="J690" s="459">
        <f t="shared" si="47"/>
        <v>0</v>
      </c>
      <c r="K690" s="460"/>
      <c r="M690" s="278">
        <f t="shared" si="49"/>
        <v>0</v>
      </c>
      <c r="N690" s="415"/>
      <c r="O690" s="415"/>
    </row>
    <row r="691" s="278" customFormat="1" ht="20" hidden="1" customHeight="1" spans="1:17">
      <c r="A691" s="418">
        <v>2101550</v>
      </c>
      <c r="B691" s="433" t="s">
        <v>174</v>
      </c>
      <c r="C691" s="464">
        <v>310.612614</v>
      </c>
      <c r="D691" s="466">
        <v>334.162217</v>
      </c>
      <c r="E691" s="464">
        <v>339</v>
      </c>
      <c r="F691" s="457">
        <f t="shared" si="44"/>
        <v>101.447734888592</v>
      </c>
      <c r="G691" s="458">
        <f t="shared" si="45"/>
        <v>28.387386</v>
      </c>
      <c r="H691" s="457">
        <f t="shared" si="46"/>
        <v>9.13916071676342</v>
      </c>
      <c r="I691" s="462">
        <v>357.311667</v>
      </c>
      <c r="J691" s="459">
        <f t="shared" si="47"/>
        <v>23.14945</v>
      </c>
      <c r="K691" s="460">
        <f t="shared" si="48"/>
        <v>6.92760845550651</v>
      </c>
      <c r="M691" s="278">
        <f t="shared" si="49"/>
        <v>353</v>
      </c>
      <c r="N691" s="415">
        <v>353</v>
      </c>
      <c r="O691" s="415"/>
    </row>
    <row r="692" s="278" customFormat="1" ht="20" hidden="1" customHeight="1" spans="1:17">
      <c r="A692" s="418">
        <v>2101599</v>
      </c>
      <c r="B692" s="433" t="s">
        <v>655</v>
      </c>
      <c r="C692" s="464">
        <v>106.922011</v>
      </c>
      <c r="D692" s="461">
        <f>79+4.5436</f>
        <v>83.5436</v>
      </c>
      <c r="E692" s="464">
        <v>99</v>
      </c>
      <c r="F692" s="457">
        <f t="shared" si="44"/>
        <v>118.500998281137</v>
      </c>
      <c r="G692" s="458">
        <f t="shared" si="45"/>
        <v>-7.922011</v>
      </c>
      <c r="H692" s="457">
        <f t="shared" si="46"/>
        <v>-7.40914889825632</v>
      </c>
      <c r="I692" s="461">
        <v>42</v>
      </c>
      <c r="J692" s="459">
        <f t="shared" si="47"/>
        <v>-41.5436</v>
      </c>
      <c r="K692" s="460">
        <f t="shared" si="48"/>
        <v>-49.7268492140631</v>
      </c>
      <c r="M692" s="278">
        <f t="shared" si="49"/>
        <v>0</v>
      </c>
      <c r="N692" s="415"/>
      <c r="O692" s="415"/>
      <c r="Q692" s="278">
        <v>2</v>
      </c>
    </row>
    <row r="693" customFormat="1" ht="20" hidden="1" customHeight="1" spans="1:17">
      <c r="A693" s="416">
        <v>21016</v>
      </c>
      <c r="B693" s="427" t="s">
        <v>656</v>
      </c>
      <c r="C693" s="456">
        <v>0</v>
      </c>
      <c r="D693" s="456"/>
      <c r="E693" s="456">
        <v>0</v>
      </c>
      <c r="F693" s="457"/>
      <c r="G693" s="458">
        <f t="shared" si="45"/>
        <v>0</v>
      </c>
      <c r="H693" s="457"/>
      <c r="I693" s="456"/>
      <c r="J693" s="459">
        <f t="shared" si="47"/>
        <v>0</v>
      </c>
      <c r="K693" s="460"/>
      <c r="M693">
        <f t="shared" si="49"/>
        <v>0</v>
      </c>
      <c r="N693" s="415"/>
      <c r="O693" s="415"/>
    </row>
    <row r="694" customFormat="1" ht="20" hidden="1" customHeight="1" spans="1:17">
      <c r="A694" s="418">
        <v>2101601</v>
      </c>
      <c r="B694" s="239" t="s">
        <v>657</v>
      </c>
      <c r="C694" s="464">
        <v>0</v>
      </c>
      <c r="D694" s="461"/>
      <c r="E694" s="464">
        <v>0</v>
      </c>
      <c r="F694" s="457"/>
      <c r="G694" s="458">
        <f t="shared" si="45"/>
        <v>0</v>
      </c>
      <c r="H694" s="457"/>
      <c r="I694" s="461"/>
      <c r="J694" s="459">
        <f t="shared" si="47"/>
        <v>0</v>
      </c>
      <c r="K694" s="460"/>
      <c r="M694">
        <f t="shared" si="49"/>
        <v>0</v>
      </c>
      <c r="N694" s="415"/>
      <c r="O694" s="415"/>
    </row>
    <row r="695" customFormat="1" ht="20" hidden="1" customHeight="1" spans="1:17">
      <c r="A695" s="416">
        <v>21017</v>
      </c>
      <c r="B695" s="427" t="s">
        <v>658</v>
      </c>
      <c r="C695" s="456">
        <f>SUM(C696:C697)</f>
        <v>41.1369</v>
      </c>
      <c r="D695" s="456">
        <f>SUM(D696:D697)</f>
        <v>192</v>
      </c>
      <c r="E695" s="456">
        <f>SUM(E696:E697)</f>
        <v>52</v>
      </c>
      <c r="F695" s="457">
        <f t="shared" si="44"/>
        <v>27.0833333333333</v>
      </c>
      <c r="G695" s="458">
        <f t="shared" si="45"/>
        <v>10.8631</v>
      </c>
      <c r="H695" s="457">
        <f t="shared" si="46"/>
        <v>26.4071915968389</v>
      </c>
      <c r="I695" s="456">
        <f>SUM(I696:I697)</f>
        <v>0</v>
      </c>
      <c r="J695" s="459">
        <f t="shared" si="47"/>
        <v>-192</v>
      </c>
      <c r="K695" s="460">
        <f t="shared" si="48"/>
        <v>-100</v>
      </c>
      <c r="M695">
        <f t="shared" si="49"/>
        <v>0</v>
      </c>
      <c r="N695" s="415"/>
      <c r="O695" s="415"/>
    </row>
    <row r="696" customFormat="1" ht="20" hidden="1" customHeight="1" spans="1:17">
      <c r="A696" s="418">
        <v>2101704</v>
      </c>
      <c r="B696" s="239" t="s">
        <v>659</v>
      </c>
      <c r="C696" s="461">
        <v>41.1369</v>
      </c>
      <c r="D696" s="461"/>
      <c r="E696" s="461">
        <v>7</v>
      </c>
      <c r="F696" s="457"/>
      <c r="G696" s="458">
        <f t="shared" si="45"/>
        <v>-34.1369</v>
      </c>
      <c r="H696" s="457">
        <f t="shared" si="46"/>
        <v>-82.9836472850409</v>
      </c>
      <c r="I696" s="461"/>
      <c r="J696" s="459">
        <f t="shared" si="47"/>
        <v>0</v>
      </c>
      <c r="K696" s="460"/>
      <c r="M696">
        <f t="shared" si="49"/>
        <v>0</v>
      </c>
      <c r="N696" s="415"/>
      <c r="O696" s="415"/>
      <c r="P696">
        <v>157</v>
      </c>
      <c r="Q696">
        <v>90</v>
      </c>
    </row>
    <row r="697" customFormat="1" ht="20" hidden="1" customHeight="1" spans="1:17">
      <c r="A697" s="418">
        <v>2101799</v>
      </c>
      <c r="B697" s="239" t="s">
        <v>660</v>
      </c>
      <c r="C697" s="461">
        <v>0</v>
      </c>
      <c r="D697" s="461">
        <f>157+35</f>
        <v>192</v>
      </c>
      <c r="E697" s="461">
        <v>45</v>
      </c>
      <c r="F697" s="457">
        <f t="shared" si="44"/>
        <v>23.4375</v>
      </c>
      <c r="G697" s="458">
        <f t="shared" si="45"/>
        <v>45</v>
      </c>
      <c r="H697" s="457"/>
      <c r="I697" s="461"/>
      <c r="J697" s="459">
        <f t="shared" si="47"/>
        <v>-192</v>
      </c>
      <c r="K697" s="460">
        <f t="shared" si="48"/>
        <v>-100</v>
      </c>
      <c r="M697">
        <f t="shared" si="49"/>
        <v>0</v>
      </c>
      <c r="N697" s="415"/>
      <c r="O697" s="415"/>
    </row>
    <row r="698" s="278" customFormat="1" ht="20" hidden="1" customHeight="1" spans="1:17">
      <c r="A698" s="435" t="s">
        <v>661</v>
      </c>
      <c r="B698" s="436" t="s">
        <v>662</v>
      </c>
      <c r="C698" s="464">
        <f>C699</f>
        <v>9.6</v>
      </c>
      <c r="D698" s="464">
        <f>D699</f>
        <v>6</v>
      </c>
      <c r="E698" s="464">
        <f>E699</f>
        <v>6</v>
      </c>
      <c r="F698" s="457">
        <f t="shared" si="44"/>
        <v>100</v>
      </c>
      <c r="G698" s="458">
        <f t="shared" si="45"/>
        <v>-3.6</v>
      </c>
      <c r="H698" s="457">
        <f t="shared" si="46"/>
        <v>-37.5</v>
      </c>
      <c r="I698" s="464">
        <f>I699</f>
        <v>87.84</v>
      </c>
      <c r="J698" s="459">
        <f t="shared" si="47"/>
        <v>81.84</v>
      </c>
      <c r="K698" s="460">
        <f t="shared" si="48"/>
        <v>1364</v>
      </c>
    </row>
    <row r="699" s="278" customFormat="1" ht="20" hidden="1" customHeight="1" spans="1:17">
      <c r="A699" s="418" t="s">
        <v>663</v>
      </c>
      <c r="B699" s="234" t="s">
        <v>664</v>
      </c>
      <c r="C699" s="461">
        <v>9.6</v>
      </c>
      <c r="D699" s="461">
        <v>6</v>
      </c>
      <c r="E699" s="461">
        <v>6</v>
      </c>
      <c r="F699" s="457">
        <f t="shared" si="44"/>
        <v>100</v>
      </c>
      <c r="G699" s="458">
        <f t="shared" si="45"/>
        <v>-3.6</v>
      </c>
      <c r="H699" s="457">
        <f t="shared" si="46"/>
        <v>-37.5</v>
      </c>
      <c r="I699" s="462">
        <v>87.84</v>
      </c>
      <c r="J699" s="459">
        <f t="shared" si="47"/>
        <v>81.84</v>
      </c>
      <c r="K699" s="460">
        <f t="shared" si="48"/>
        <v>1364</v>
      </c>
    </row>
    <row r="700" s="278" customFormat="1" ht="20" hidden="1" customHeight="1" spans="1:17">
      <c r="A700" s="418" t="s">
        <v>665</v>
      </c>
      <c r="B700" s="436" t="s">
        <v>666</v>
      </c>
      <c r="C700" s="461"/>
      <c r="D700" s="461"/>
      <c r="E700" s="461">
        <f>E702</f>
        <v>2562</v>
      </c>
      <c r="F700" s="457"/>
      <c r="G700" s="458">
        <f t="shared" si="45"/>
        <v>2562</v>
      </c>
      <c r="H700" s="457"/>
      <c r="I700" s="461">
        <f>I702+I701</f>
        <v>2343.51</v>
      </c>
      <c r="J700" s="459">
        <f t="shared" si="47"/>
        <v>2343.51</v>
      </c>
      <c r="K700" s="460"/>
    </row>
    <row r="701" s="278" customFormat="1" ht="20" hidden="1" customHeight="1" spans="1:17">
      <c r="A701" s="418" t="s">
        <v>667</v>
      </c>
      <c r="B701" s="436" t="s">
        <v>668</v>
      </c>
      <c r="C701" s="461"/>
      <c r="D701" s="461"/>
      <c r="E701" s="461"/>
      <c r="F701" s="457"/>
      <c r="G701" s="458"/>
      <c r="H701" s="457"/>
      <c r="I701" s="461">
        <f>2067.39+108.81</f>
        <v>2176.2</v>
      </c>
      <c r="J701" s="459">
        <f t="shared" si="47"/>
        <v>2176.2</v>
      </c>
      <c r="K701" s="460"/>
    </row>
    <row r="702" s="278" customFormat="1" ht="20" hidden="1" customHeight="1" spans="1:17">
      <c r="A702" s="418" t="s">
        <v>669</v>
      </c>
      <c r="B702" s="234" t="s">
        <v>670</v>
      </c>
      <c r="C702" s="461"/>
      <c r="D702" s="461"/>
      <c r="E702" s="461">
        <v>2562</v>
      </c>
      <c r="F702" s="457"/>
      <c r="G702" s="458">
        <f t="shared" ref="G702:G711" si="50">E702-C702</f>
        <v>2562</v>
      </c>
      <c r="H702" s="457"/>
      <c r="I702" s="461">
        <v>167.31</v>
      </c>
      <c r="J702" s="459">
        <f t="shared" si="47"/>
        <v>167.31</v>
      </c>
      <c r="K702" s="460"/>
    </row>
    <row r="703" customFormat="1" ht="20" hidden="1" customHeight="1" spans="1:17">
      <c r="A703" s="416">
        <v>21099</v>
      </c>
      <c r="B703" s="427" t="s">
        <v>671</v>
      </c>
      <c r="C703" s="470">
        <f>C704</f>
        <v>129.319324</v>
      </c>
      <c r="D703" s="470">
        <f>D704</f>
        <v>1898.05</v>
      </c>
      <c r="E703" s="470">
        <f>E704</f>
        <v>144</v>
      </c>
      <c r="F703" s="457">
        <f>E703/D703*100</f>
        <v>7.58673375306235</v>
      </c>
      <c r="G703" s="458">
        <f t="shared" si="50"/>
        <v>14.680676</v>
      </c>
      <c r="H703" s="457">
        <f>G703/C703*100</f>
        <v>11.3522678172985</v>
      </c>
      <c r="I703" s="470">
        <f>I704</f>
        <v>2848.47</v>
      </c>
      <c r="J703" s="459">
        <f t="shared" si="47"/>
        <v>950.42</v>
      </c>
      <c r="K703" s="460">
        <f t="shared" si="48"/>
        <v>50.0734964832328</v>
      </c>
      <c r="M703">
        <f t="shared" ref="M703:M731" si="51">N703+O703</f>
        <v>0</v>
      </c>
      <c r="N703" s="415"/>
      <c r="O703" s="415"/>
    </row>
    <row r="704" customFormat="1" ht="20" hidden="1" customHeight="1" spans="1:17">
      <c r="A704" s="418">
        <v>2109999</v>
      </c>
      <c r="B704" s="239" t="s">
        <v>672</v>
      </c>
      <c r="C704" s="464">
        <v>129.319324</v>
      </c>
      <c r="D704" s="466">
        <f>5+1677.87+215.18</f>
        <v>1898.05</v>
      </c>
      <c r="E704" s="464">
        <v>144</v>
      </c>
      <c r="F704" s="457">
        <f>E704/D704*100</f>
        <v>7.58673375306235</v>
      </c>
      <c r="G704" s="458">
        <f t="shared" si="50"/>
        <v>14.680676</v>
      </c>
      <c r="H704" s="457">
        <f>G704/C704*100</f>
        <v>11.3522678172985</v>
      </c>
      <c r="I704" s="466">
        <f>160.8+187.2+175.47+2205+120</f>
        <v>2848.47</v>
      </c>
      <c r="J704" s="459">
        <f t="shared" si="47"/>
        <v>950.42</v>
      </c>
      <c r="K704" s="460">
        <f t="shared" si="48"/>
        <v>50.0734964832328</v>
      </c>
      <c r="M704">
        <f t="shared" si="51"/>
        <v>6</v>
      </c>
      <c r="N704" s="415">
        <v>6</v>
      </c>
      <c r="O704" s="415"/>
      <c r="Q704">
        <v>180</v>
      </c>
    </row>
    <row r="705" s="278" customFormat="1" ht="20" customHeight="1" spans="1:17">
      <c r="A705" s="412">
        <v>211</v>
      </c>
      <c r="B705" s="413" t="s">
        <v>673</v>
      </c>
      <c r="C705" s="346">
        <f>SUM(C706:C746)/2+C748</f>
        <v>424.587869</v>
      </c>
      <c r="D705" s="346">
        <f>SUM(D706:D768)/2</f>
        <v>1279.66</v>
      </c>
      <c r="E705" s="346">
        <f>SUM(E706:E746)/2+E748</f>
        <v>965</v>
      </c>
      <c r="F705" s="414">
        <f>E705/D705*100</f>
        <v>75.4106559554882</v>
      </c>
      <c r="G705" s="346">
        <f t="shared" si="50"/>
        <v>540.412131</v>
      </c>
      <c r="H705" s="414">
        <f>G705/C705*100</f>
        <v>127.279220735343</v>
      </c>
      <c r="I705" s="346">
        <f>SUM(I706:I768)/2</f>
        <v>2210.196114</v>
      </c>
      <c r="J705" s="307">
        <f t="shared" si="47"/>
        <v>930.536114</v>
      </c>
      <c r="K705" s="306">
        <f t="shared" si="48"/>
        <v>72.7174494787678</v>
      </c>
      <c r="M705" s="278">
        <f t="shared" si="51"/>
        <v>0</v>
      </c>
      <c r="N705" s="415"/>
      <c r="O705" s="415"/>
    </row>
    <row r="706" customFormat="1" ht="20" hidden="1" customHeight="1" spans="1:17">
      <c r="A706" s="416">
        <v>21101</v>
      </c>
      <c r="B706" s="427" t="s">
        <v>674</v>
      </c>
      <c r="C706" s="461">
        <f>SUM(C707:C714)</f>
        <v>29.218612</v>
      </c>
      <c r="D706" s="461">
        <f>SUM(D707:D714)</f>
        <v>7</v>
      </c>
      <c r="E706" s="461">
        <f>SUM(E707:E714)</f>
        <v>69</v>
      </c>
      <c r="F706" s="457">
        <f>E706/D706*100</f>
        <v>985.714285714286</v>
      </c>
      <c r="G706" s="458">
        <f t="shared" si="50"/>
        <v>39.781388</v>
      </c>
      <c r="H706" s="457">
        <f>G706/C706*100</f>
        <v>136.150847959513</v>
      </c>
      <c r="I706" s="461">
        <f>SUM(I707:I714)</f>
        <v>92.476114</v>
      </c>
      <c r="J706" s="459">
        <f t="shared" si="47"/>
        <v>85.476114</v>
      </c>
      <c r="K706" s="460">
        <f t="shared" si="48"/>
        <v>1221.08734285714</v>
      </c>
      <c r="M706">
        <f t="shared" si="51"/>
        <v>0</v>
      </c>
      <c r="N706" s="415"/>
      <c r="O706" s="415"/>
    </row>
    <row r="707" s="278" customFormat="1" ht="20" hidden="1" customHeight="1" spans="1:17">
      <c r="A707" s="418">
        <v>2110101</v>
      </c>
      <c r="B707" s="422" t="s">
        <v>165</v>
      </c>
      <c r="C707" s="474">
        <v>0</v>
      </c>
      <c r="D707" s="461"/>
      <c r="E707" s="474">
        <v>0</v>
      </c>
      <c r="F707" s="457"/>
      <c r="G707" s="458">
        <f t="shared" si="50"/>
        <v>0</v>
      </c>
      <c r="H707" s="457"/>
      <c r="I707" s="461"/>
      <c r="J707" s="459">
        <f t="shared" si="47"/>
        <v>0</v>
      </c>
      <c r="K707" s="460"/>
      <c r="M707" s="278">
        <f t="shared" si="51"/>
        <v>0</v>
      </c>
      <c r="N707" s="415"/>
      <c r="O707" s="415"/>
    </row>
    <row r="708" s="278" customFormat="1" ht="20" hidden="1" customHeight="1" spans="1:17">
      <c r="A708" s="418">
        <v>2110102</v>
      </c>
      <c r="B708" s="422" t="s">
        <v>166</v>
      </c>
      <c r="C708" s="474">
        <v>12.40419</v>
      </c>
      <c r="D708" s="461"/>
      <c r="E708" s="474">
        <v>3</v>
      </c>
      <c r="F708" s="457"/>
      <c r="G708" s="458">
        <f t="shared" si="50"/>
        <v>-9.40419</v>
      </c>
      <c r="H708" s="457">
        <f>G708/C708*100</f>
        <v>-75.8146239294948</v>
      </c>
      <c r="I708" s="461"/>
      <c r="J708" s="459">
        <f t="shared" si="47"/>
        <v>0</v>
      </c>
      <c r="K708" s="460"/>
      <c r="M708" s="278">
        <f t="shared" si="51"/>
        <v>12</v>
      </c>
      <c r="N708" s="415">
        <v>12</v>
      </c>
      <c r="O708" s="415"/>
    </row>
    <row r="709" s="278" customFormat="1" ht="20" hidden="1" customHeight="1" spans="1:17">
      <c r="A709" s="418">
        <v>2110103</v>
      </c>
      <c r="B709" s="422" t="s">
        <v>167</v>
      </c>
      <c r="C709" s="474">
        <v>0</v>
      </c>
      <c r="D709" s="461"/>
      <c r="E709" s="474">
        <v>0</v>
      </c>
      <c r="F709" s="457"/>
      <c r="G709" s="458">
        <f t="shared" si="50"/>
        <v>0</v>
      </c>
      <c r="H709" s="457"/>
      <c r="I709" s="461"/>
      <c r="J709" s="459">
        <f t="shared" si="47"/>
        <v>0</v>
      </c>
      <c r="K709" s="460"/>
      <c r="M709" s="278">
        <f t="shared" si="51"/>
        <v>0</v>
      </c>
      <c r="N709" s="415"/>
      <c r="O709" s="415"/>
    </row>
    <row r="710" s="278" customFormat="1" ht="20" hidden="1" customHeight="1" spans="1:17">
      <c r="A710" s="418">
        <v>2110104</v>
      </c>
      <c r="B710" s="422" t="s">
        <v>675</v>
      </c>
      <c r="C710" s="464">
        <v>0</v>
      </c>
      <c r="D710" s="461"/>
      <c r="E710" s="464">
        <v>0</v>
      </c>
      <c r="F710" s="457"/>
      <c r="G710" s="458">
        <f t="shared" si="50"/>
        <v>0</v>
      </c>
      <c r="H710" s="457"/>
      <c r="I710" s="461"/>
      <c r="J710" s="459">
        <f t="shared" si="47"/>
        <v>0</v>
      </c>
      <c r="K710" s="460"/>
      <c r="M710" s="278">
        <f t="shared" si="51"/>
        <v>0</v>
      </c>
      <c r="N710" s="415"/>
      <c r="O710" s="415"/>
    </row>
    <row r="711" s="278" customFormat="1" ht="20" hidden="1" customHeight="1" spans="1:17">
      <c r="A711" s="418">
        <v>2110105</v>
      </c>
      <c r="B711" s="422" t="s">
        <v>676</v>
      </c>
      <c r="C711" s="464">
        <v>0</v>
      </c>
      <c r="D711" s="461"/>
      <c r="E711" s="464">
        <v>0</v>
      </c>
      <c r="F711" s="457"/>
      <c r="G711" s="458">
        <f t="shared" si="50"/>
        <v>0</v>
      </c>
      <c r="H711" s="457"/>
      <c r="I711" s="461"/>
      <c r="J711" s="459">
        <f t="shared" ref="J711:J774" si="52">I711-D711</f>
        <v>0</v>
      </c>
      <c r="K711" s="460"/>
      <c r="M711" s="278">
        <f t="shared" si="51"/>
        <v>0</v>
      </c>
      <c r="N711" s="415"/>
      <c r="O711" s="415"/>
    </row>
    <row r="712" customFormat="1" ht="20" hidden="1" customHeight="1" spans="1:17">
      <c r="A712" s="418">
        <v>2110106</v>
      </c>
      <c r="B712" s="239" t="s">
        <v>677</v>
      </c>
      <c r="C712" s="464">
        <v>0</v>
      </c>
      <c r="D712" s="461"/>
      <c r="E712" s="464">
        <v>0</v>
      </c>
      <c r="F712" s="457"/>
      <c r="G712" s="458">
        <f t="shared" ref="G712:G775" si="53">E712-C712</f>
        <v>0</v>
      </c>
      <c r="H712" s="457"/>
      <c r="I712" s="461"/>
      <c r="J712" s="459">
        <f t="shared" si="52"/>
        <v>0</v>
      </c>
      <c r="K712" s="460"/>
      <c r="M712">
        <f t="shared" si="51"/>
        <v>0</v>
      </c>
      <c r="N712" s="415"/>
      <c r="O712" s="415"/>
    </row>
    <row r="713" customFormat="1" ht="20" hidden="1" customHeight="1" spans="1:17">
      <c r="A713" s="418">
        <v>2110107</v>
      </c>
      <c r="B713" s="239" t="s">
        <v>678</v>
      </c>
      <c r="C713" s="464">
        <v>0</v>
      </c>
      <c r="D713" s="461"/>
      <c r="E713" s="464">
        <v>0</v>
      </c>
      <c r="F713" s="457"/>
      <c r="G713" s="458">
        <f t="shared" si="53"/>
        <v>0</v>
      </c>
      <c r="H713" s="457"/>
      <c r="I713" s="461"/>
      <c r="J713" s="459">
        <f t="shared" si="52"/>
        <v>0</v>
      </c>
      <c r="K713" s="460"/>
      <c r="M713">
        <f t="shared" si="51"/>
        <v>0</v>
      </c>
      <c r="N713" s="415"/>
      <c r="O713" s="415"/>
    </row>
    <row r="714" customFormat="1" ht="20" hidden="1" customHeight="1" spans="1:17">
      <c r="A714" s="418">
        <v>2110199</v>
      </c>
      <c r="B714" s="239" t="s">
        <v>679</v>
      </c>
      <c r="C714" s="464">
        <v>16.814422</v>
      </c>
      <c r="D714" s="466">
        <v>7</v>
      </c>
      <c r="E714" s="464">
        <v>66</v>
      </c>
      <c r="F714" s="457">
        <f>E714/D714*100</f>
        <v>942.857142857143</v>
      </c>
      <c r="G714" s="458">
        <f t="shared" si="53"/>
        <v>49.185578</v>
      </c>
      <c r="H714" s="457">
        <f>G714/C714*100</f>
        <v>292.520182971499</v>
      </c>
      <c r="I714" s="462">
        <f>22.476114+53+17</f>
        <v>92.476114</v>
      </c>
      <c r="J714" s="459">
        <f t="shared" si="52"/>
        <v>85.476114</v>
      </c>
      <c r="K714" s="460">
        <f>J714/D714*100</f>
        <v>1221.08734285714</v>
      </c>
      <c r="M714">
        <f t="shared" si="51"/>
        <v>3</v>
      </c>
      <c r="N714" s="415">
        <v>3</v>
      </c>
      <c r="O714" s="415"/>
    </row>
    <row r="715" customFormat="1" ht="20" hidden="1" customHeight="1" spans="1:17">
      <c r="A715" s="416">
        <v>21102</v>
      </c>
      <c r="B715" s="427" t="s">
        <v>680</v>
      </c>
      <c r="C715" s="461">
        <v>0</v>
      </c>
      <c r="D715" s="461"/>
      <c r="E715" s="461">
        <v>0</v>
      </c>
      <c r="F715" s="457"/>
      <c r="G715" s="458">
        <f t="shared" si="53"/>
        <v>0</v>
      </c>
      <c r="H715" s="457"/>
      <c r="I715" s="461"/>
      <c r="J715" s="459">
        <f t="shared" si="52"/>
        <v>0</v>
      </c>
      <c r="K715" s="460"/>
      <c r="M715">
        <f t="shared" si="51"/>
        <v>0</v>
      </c>
      <c r="N715" s="415"/>
      <c r="O715" s="415"/>
    </row>
    <row r="716" customFormat="1" ht="20" hidden="1" customHeight="1" spans="1:17">
      <c r="A716" s="418">
        <v>2110203</v>
      </c>
      <c r="B716" s="239" t="s">
        <v>681</v>
      </c>
      <c r="C716" s="464">
        <v>0</v>
      </c>
      <c r="D716" s="461"/>
      <c r="E716" s="464">
        <v>0</v>
      </c>
      <c r="F716" s="457"/>
      <c r="G716" s="458">
        <f t="shared" si="53"/>
        <v>0</v>
      </c>
      <c r="H716" s="457"/>
      <c r="I716" s="461"/>
      <c r="J716" s="459">
        <f t="shared" si="52"/>
        <v>0</v>
      </c>
      <c r="K716" s="460"/>
      <c r="M716">
        <f t="shared" si="51"/>
        <v>0</v>
      </c>
      <c r="N716" s="415"/>
      <c r="O716" s="415"/>
    </row>
    <row r="717" customFormat="1" ht="20" hidden="1" customHeight="1" spans="1:17">
      <c r="A717" s="418">
        <v>2110204</v>
      </c>
      <c r="B717" s="239" t="s">
        <v>682</v>
      </c>
      <c r="C717" s="464">
        <v>0</v>
      </c>
      <c r="D717" s="461"/>
      <c r="E717" s="464">
        <v>0</v>
      </c>
      <c r="F717" s="457"/>
      <c r="G717" s="458">
        <f t="shared" si="53"/>
        <v>0</v>
      </c>
      <c r="H717" s="457"/>
      <c r="I717" s="461"/>
      <c r="J717" s="459">
        <f t="shared" si="52"/>
        <v>0</v>
      </c>
      <c r="K717" s="460"/>
      <c r="M717">
        <f t="shared" si="51"/>
        <v>0</v>
      </c>
      <c r="N717" s="415"/>
      <c r="O717" s="415"/>
    </row>
    <row r="718" customFormat="1" ht="20" hidden="1" customHeight="1" spans="1:17">
      <c r="A718" s="418">
        <v>2110299</v>
      </c>
      <c r="B718" s="239" t="s">
        <v>683</v>
      </c>
      <c r="C718" s="464">
        <v>0</v>
      </c>
      <c r="D718" s="461"/>
      <c r="E718" s="464">
        <v>0</v>
      </c>
      <c r="F718" s="457"/>
      <c r="G718" s="458">
        <f t="shared" si="53"/>
        <v>0</v>
      </c>
      <c r="H718" s="457"/>
      <c r="I718" s="461"/>
      <c r="J718" s="459">
        <f t="shared" si="52"/>
        <v>0</v>
      </c>
      <c r="K718" s="460"/>
      <c r="M718">
        <f t="shared" si="51"/>
        <v>0</v>
      </c>
      <c r="N718" s="415"/>
      <c r="O718" s="415"/>
    </row>
    <row r="719" customFormat="1" ht="20" hidden="1" customHeight="1" spans="1:17">
      <c r="A719" s="416">
        <v>21103</v>
      </c>
      <c r="B719" s="427" t="s">
        <v>684</v>
      </c>
      <c r="C719" s="461">
        <f>SUM(C720:C727)</f>
        <v>175.3968</v>
      </c>
      <c r="D719" s="461">
        <f>SUM(D720:D727)</f>
        <v>1063</v>
      </c>
      <c r="E719" s="461">
        <f>SUM(E720:E727)</f>
        <v>25</v>
      </c>
      <c r="F719" s="457">
        <f>E719/D719*100</f>
        <v>2.35183443085607</v>
      </c>
      <c r="G719" s="458">
        <f t="shared" si="53"/>
        <v>-150.3968</v>
      </c>
      <c r="H719" s="457">
        <f>G719/C719*100</f>
        <v>-85.7466042710015</v>
      </c>
      <c r="I719" s="461">
        <f>SUM(I720:I727)</f>
        <v>1063</v>
      </c>
      <c r="J719" s="459">
        <f t="shared" si="52"/>
        <v>0</v>
      </c>
      <c r="K719" s="460">
        <f>J719/D719*100</f>
        <v>0</v>
      </c>
      <c r="M719">
        <f t="shared" si="51"/>
        <v>0</v>
      </c>
      <c r="N719" s="415"/>
      <c r="O719" s="415"/>
    </row>
    <row r="720" customFormat="1" ht="20" hidden="1" customHeight="1" spans="1:17">
      <c r="A720" s="418">
        <v>2110301</v>
      </c>
      <c r="B720" s="239" t="s">
        <v>685</v>
      </c>
      <c r="C720" s="464">
        <v>17.3968</v>
      </c>
      <c r="D720" s="461"/>
      <c r="E720" s="464">
        <v>25</v>
      </c>
      <c r="F720" s="457"/>
      <c r="G720" s="458">
        <f t="shared" si="53"/>
        <v>7.6032</v>
      </c>
      <c r="H720" s="457">
        <f>G720/C720*100</f>
        <v>43.7045893497655</v>
      </c>
      <c r="I720" s="461"/>
      <c r="J720" s="459">
        <f t="shared" si="52"/>
        <v>0</v>
      </c>
      <c r="K720" s="460"/>
      <c r="M720">
        <f t="shared" si="51"/>
        <v>0</v>
      </c>
      <c r="N720" s="415"/>
      <c r="O720" s="415"/>
      <c r="Q720">
        <v>17</v>
      </c>
    </row>
    <row r="721" customFormat="1" ht="20" hidden="1" customHeight="1" spans="1:17">
      <c r="A721" s="418">
        <v>2110302</v>
      </c>
      <c r="B721" s="239" t="s">
        <v>686</v>
      </c>
      <c r="C721" s="464">
        <v>158</v>
      </c>
      <c r="D721" s="461">
        <v>1063</v>
      </c>
      <c r="E721" s="464"/>
      <c r="F721" s="457">
        <f>E721/D721*100</f>
        <v>0</v>
      </c>
      <c r="G721" s="458">
        <f t="shared" si="53"/>
        <v>-158</v>
      </c>
      <c r="H721" s="457">
        <f>G721/C721*100</f>
        <v>-100</v>
      </c>
      <c r="I721" s="461">
        <v>1063</v>
      </c>
      <c r="J721" s="459">
        <f t="shared" si="52"/>
        <v>0</v>
      </c>
      <c r="K721" s="460">
        <f>J721/D721*100</f>
        <v>0</v>
      </c>
      <c r="M721">
        <f t="shared" si="51"/>
        <v>0</v>
      </c>
      <c r="N721" s="415"/>
      <c r="O721" s="415"/>
      <c r="P721">
        <v>20</v>
      </c>
      <c r="Q721">
        <v>60</v>
      </c>
    </row>
    <row r="722" customFormat="1" ht="20" hidden="1" customHeight="1" spans="1:17">
      <c r="A722" s="418">
        <v>2110303</v>
      </c>
      <c r="B722" s="239" t="s">
        <v>687</v>
      </c>
      <c r="C722" s="464">
        <v>0</v>
      </c>
      <c r="D722" s="461"/>
      <c r="E722" s="464">
        <v>0</v>
      </c>
      <c r="F722" s="457"/>
      <c r="G722" s="458">
        <f t="shared" si="53"/>
        <v>0</v>
      </c>
      <c r="H722" s="457"/>
      <c r="I722" s="461"/>
      <c r="J722" s="459">
        <f t="shared" si="52"/>
        <v>0</v>
      </c>
      <c r="K722" s="460"/>
      <c r="M722">
        <f t="shared" si="51"/>
        <v>0</v>
      </c>
      <c r="N722" s="415"/>
      <c r="O722" s="415"/>
    </row>
    <row r="723" customFormat="1" ht="20" hidden="1" customHeight="1" spans="1:17">
      <c r="A723" s="418">
        <v>2110304</v>
      </c>
      <c r="B723" s="239" t="s">
        <v>688</v>
      </c>
      <c r="C723" s="464">
        <v>0</v>
      </c>
      <c r="D723" s="461"/>
      <c r="E723" s="464">
        <v>0</v>
      </c>
      <c r="F723" s="457"/>
      <c r="G723" s="458">
        <f t="shared" si="53"/>
        <v>0</v>
      </c>
      <c r="H723" s="457"/>
      <c r="I723" s="461"/>
      <c r="J723" s="459">
        <f t="shared" si="52"/>
        <v>0</v>
      </c>
      <c r="K723" s="460"/>
      <c r="M723">
        <f t="shared" si="51"/>
        <v>0</v>
      </c>
      <c r="N723" s="415"/>
      <c r="O723" s="415"/>
    </row>
    <row r="724" customFormat="1" ht="20" hidden="1" customHeight="1" spans="1:17">
      <c r="A724" s="418">
        <v>2110305</v>
      </c>
      <c r="B724" s="239" t="s">
        <v>689</v>
      </c>
      <c r="C724" s="464">
        <v>0</v>
      </c>
      <c r="D724" s="461"/>
      <c r="E724" s="464">
        <v>0</v>
      </c>
      <c r="F724" s="457"/>
      <c r="G724" s="458">
        <f t="shared" si="53"/>
        <v>0</v>
      </c>
      <c r="H724" s="457"/>
      <c r="I724" s="461"/>
      <c r="J724" s="459">
        <f t="shared" si="52"/>
        <v>0</v>
      </c>
      <c r="K724" s="460"/>
      <c r="M724">
        <f t="shared" si="51"/>
        <v>0</v>
      </c>
      <c r="N724" s="415"/>
      <c r="O724" s="415"/>
    </row>
    <row r="725" customFormat="1" ht="20" hidden="1" customHeight="1" spans="1:17">
      <c r="A725" s="418">
        <v>2110306</v>
      </c>
      <c r="B725" s="239" t="s">
        <v>690</v>
      </c>
      <c r="C725" s="464">
        <v>0</v>
      </c>
      <c r="D725" s="461"/>
      <c r="E725" s="464">
        <v>0</v>
      </c>
      <c r="F725" s="457"/>
      <c r="G725" s="458">
        <f t="shared" si="53"/>
        <v>0</v>
      </c>
      <c r="H725" s="457"/>
      <c r="I725" s="461"/>
      <c r="J725" s="459">
        <f t="shared" si="52"/>
        <v>0</v>
      </c>
      <c r="K725" s="460"/>
      <c r="M725">
        <f t="shared" si="51"/>
        <v>0</v>
      </c>
      <c r="N725" s="415"/>
      <c r="O725" s="415"/>
    </row>
    <row r="726" customFormat="1" ht="20" hidden="1" customHeight="1" spans="1:17">
      <c r="A726" s="418">
        <v>2110307</v>
      </c>
      <c r="B726" s="239" t="s">
        <v>691</v>
      </c>
      <c r="C726" s="464">
        <v>0</v>
      </c>
      <c r="D726" s="461"/>
      <c r="E726" s="464">
        <v>0</v>
      </c>
      <c r="F726" s="457"/>
      <c r="G726" s="458">
        <f t="shared" si="53"/>
        <v>0</v>
      </c>
      <c r="H726" s="457"/>
      <c r="I726" s="461"/>
      <c r="J726" s="459">
        <f t="shared" si="52"/>
        <v>0</v>
      </c>
      <c r="K726" s="460"/>
      <c r="M726">
        <f t="shared" si="51"/>
        <v>0</v>
      </c>
      <c r="N726" s="415"/>
      <c r="O726" s="415"/>
    </row>
    <row r="727" customFormat="1" ht="20" hidden="1" customHeight="1" spans="1:17">
      <c r="A727" s="418">
        <v>2110399</v>
      </c>
      <c r="B727" s="239" t="s">
        <v>692</v>
      </c>
      <c r="C727" s="464">
        <v>0</v>
      </c>
      <c r="D727" s="461"/>
      <c r="E727" s="464">
        <v>0</v>
      </c>
      <c r="F727" s="457"/>
      <c r="G727" s="458">
        <f t="shared" si="53"/>
        <v>0</v>
      </c>
      <c r="H727" s="457"/>
      <c r="I727" s="461"/>
      <c r="J727" s="459">
        <f t="shared" si="52"/>
        <v>0</v>
      </c>
      <c r="K727" s="460"/>
      <c r="M727">
        <f t="shared" si="51"/>
        <v>0</v>
      </c>
      <c r="N727" s="415"/>
      <c r="O727" s="415"/>
    </row>
    <row r="728" customFormat="1" ht="20" hidden="1" customHeight="1" spans="1:17">
      <c r="A728" s="416">
        <v>21104</v>
      </c>
      <c r="B728" s="427" t="s">
        <v>693</v>
      </c>
      <c r="C728" s="461">
        <f>SUM(C729:C733)</f>
        <v>192.64255</v>
      </c>
      <c r="D728" s="461">
        <f>SUM(D729:D733)</f>
        <v>103.8</v>
      </c>
      <c r="E728" s="461">
        <f>SUM(E729:E733)</f>
        <v>156</v>
      </c>
      <c r="F728" s="457">
        <f>E728/D728*100</f>
        <v>150.28901734104</v>
      </c>
      <c r="G728" s="458">
        <f t="shared" si="53"/>
        <v>-36.64255</v>
      </c>
      <c r="H728" s="457">
        <f>G728/C728*100</f>
        <v>-19.0210054839909</v>
      </c>
      <c r="I728" s="461">
        <f>SUM(I729:I733)</f>
        <v>2.27</v>
      </c>
      <c r="J728" s="459">
        <f t="shared" si="52"/>
        <v>-101.53</v>
      </c>
      <c r="K728" s="460">
        <f>J728/D728*100</f>
        <v>-97.8131021194605</v>
      </c>
      <c r="M728">
        <f t="shared" si="51"/>
        <v>0</v>
      </c>
      <c r="N728" s="415"/>
      <c r="O728" s="415"/>
    </row>
    <row r="729" customFormat="1" ht="20" hidden="1" customHeight="1" spans="1:17">
      <c r="A729" s="418">
        <v>2110401</v>
      </c>
      <c r="B729" s="239" t="s">
        <v>694</v>
      </c>
      <c r="C729" s="461">
        <v>192.64255</v>
      </c>
      <c r="D729" s="461">
        <v>88</v>
      </c>
      <c r="E729" s="461">
        <v>155</v>
      </c>
      <c r="F729" s="457">
        <f>E729/D729*100</f>
        <v>176.136363636364</v>
      </c>
      <c r="G729" s="458">
        <f t="shared" si="53"/>
        <v>-37.64255</v>
      </c>
      <c r="H729" s="457">
        <f>G729/C729*100</f>
        <v>-19.5401016026833</v>
      </c>
      <c r="I729" s="461">
        <v>2.27</v>
      </c>
      <c r="J729" s="459">
        <f t="shared" si="52"/>
        <v>-85.73</v>
      </c>
      <c r="K729" s="460">
        <f>J729/D729*100</f>
        <v>-97.4204545454545</v>
      </c>
      <c r="M729">
        <f t="shared" si="51"/>
        <v>0</v>
      </c>
      <c r="N729" s="415"/>
      <c r="O729" s="415"/>
      <c r="P729">
        <v>88</v>
      </c>
      <c r="Q729">
        <v>100</v>
      </c>
    </row>
    <row r="730" customFormat="1" ht="20" hidden="1" customHeight="1" spans="1:17">
      <c r="A730" s="418">
        <v>2110402</v>
      </c>
      <c r="B730" s="239" t="s">
        <v>695</v>
      </c>
      <c r="C730" s="461"/>
      <c r="D730" s="461"/>
      <c r="E730" s="461"/>
      <c r="F730" s="457"/>
      <c r="G730" s="458">
        <f t="shared" si="53"/>
        <v>0</v>
      </c>
      <c r="H730" s="457"/>
      <c r="I730" s="461"/>
      <c r="J730" s="459">
        <f t="shared" si="52"/>
        <v>0</v>
      </c>
      <c r="K730" s="460"/>
      <c r="M730">
        <f t="shared" si="51"/>
        <v>0</v>
      </c>
      <c r="N730" s="415"/>
      <c r="O730" s="415"/>
    </row>
    <row r="731" customFormat="1" ht="20" hidden="1" customHeight="1" spans="1:17">
      <c r="A731" s="418">
        <v>2110404</v>
      </c>
      <c r="B731" s="239" t="s">
        <v>696</v>
      </c>
      <c r="C731" s="461">
        <v>0</v>
      </c>
      <c r="D731" s="461"/>
      <c r="E731" s="461">
        <v>0</v>
      </c>
      <c r="F731" s="457"/>
      <c r="G731" s="458">
        <f t="shared" si="53"/>
        <v>0</v>
      </c>
      <c r="H731" s="457"/>
      <c r="I731" s="461"/>
      <c r="J731" s="459">
        <f t="shared" si="52"/>
        <v>0</v>
      </c>
      <c r="K731" s="460"/>
      <c r="M731">
        <f t="shared" si="51"/>
        <v>0</v>
      </c>
      <c r="N731" s="415"/>
      <c r="O731" s="415"/>
    </row>
    <row r="732" customFormat="1" ht="20" hidden="1" customHeight="1" spans="1:17">
      <c r="A732" s="418">
        <v>2110406</v>
      </c>
      <c r="B732" s="239" t="s">
        <v>697</v>
      </c>
      <c r="C732" s="461">
        <v>0</v>
      </c>
      <c r="D732" s="461">
        <f>7.9+7.9</f>
        <v>15.8</v>
      </c>
      <c r="E732" s="461">
        <v>1</v>
      </c>
      <c r="F732" s="457">
        <f>E732/D732*100</f>
        <v>6.32911392405063</v>
      </c>
      <c r="G732" s="458">
        <f t="shared" si="53"/>
        <v>1</v>
      </c>
      <c r="H732" s="457"/>
      <c r="I732" s="461"/>
      <c r="J732" s="459">
        <f t="shared" si="52"/>
        <v>-15.8</v>
      </c>
      <c r="K732" s="460">
        <f>J732/D732*100</f>
        <v>-100</v>
      </c>
      <c r="N732" s="415"/>
      <c r="O732" s="415"/>
      <c r="P732">
        <v>8</v>
      </c>
    </row>
    <row r="733" customFormat="1" ht="20" hidden="1" customHeight="1" spans="1:17">
      <c r="A733" s="418">
        <v>2110499</v>
      </c>
      <c r="B733" s="239" t="s">
        <v>698</v>
      </c>
      <c r="C733" s="461">
        <v>0</v>
      </c>
      <c r="D733" s="461"/>
      <c r="E733" s="461">
        <v>0</v>
      </c>
      <c r="F733" s="457"/>
      <c r="G733" s="458">
        <f t="shared" si="53"/>
        <v>0</v>
      </c>
      <c r="H733" s="457"/>
      <c r="I733" s="461"/>
      <c r="J733" s="459">
        <f t="shared" si="52"/>
        <v>0</v>
      </c>
      <c r="K733" s="460"/>
      <c r="M733">
        <f t="shared" ref="M733:M796" si="54">N733+O733</f>
        <v>0</v>
      </c>
      <c r="N733" s="415"/>
      <c r="O733" s="415"/>
    </row>
    <row r="734" customFormat="1" ht="20" hidden="1" customHeight="1" spans="1:17">
      <c r="A734" s="416">
        <v>21105</v>
      </c>
      <c r="B734" s="427" t="s">
        <v>699</v>
      </c>
      <c r="C734" s="461">
        <f>SUM(C735:C740)</f>
        <v>26.45</v>
      </c>
      <c r="D734" s="461">
        <f>SUM(D735:D740)</f>
        <v>105.86</v>
      </c>
      <c r="E734" s="461">
        <f>SUM(E735:E740)</f>
        <v>715</v>
      </c>
      <c r="F734" s="457">
        <f>E734/D734*100</f>
        <v>675.420366521821</v>
      </c>
      <c r="G734" s="458">
        <f t="shared" si="53"/>
        <v>688.55</v>
      </c>
      <c r="H734" s="457">
        <f>G734/C734*100</f>
        <v>2603.21361058601</v>
      </c>
      <c r="I734" s="461">
        <f>SUM(I735:I740)</f>
        <v>1052.45</v>
      </c>
      <c r="J734" s="459">
        <f t="shared" si="52"/>
        <v>946.59</v>
      </c>
      <c r="K734" s="460">
        <f>J734/D734*100</f>
        <v>894.190440204043</v>
      </c>
      <c r="M734">
        <f t="shared" si="54"/>
        <v>0</v>
      </c>
      <c r="N734" s="415"/>
      <c r="O734" s="415"/>
    </row>
    <row r="735" customFormat="1" ht="20" hidden="1" customHeight="1" spans="1:17">
      <c r="A735" s="418">
        <v>2110501</v>
      </c>
      <c r="B735" s="239" t="s">
        <v>700</v>
      </c>
      <c r="C735" s="461">
        <v>26.45</v>
      </c>
      <c r="D735" s="461">
        <f>52.93+52.93</f>
        <v>105.86</v>
      </c>
      <c r="E735" s="461">
        <v>715</v>
      </c>
      <c r="F735" s="457">
        <f>E735/D735*100</f>
        <v>675.420366521821</v>
      </c>
      <c r="G735" s="458">
        <f t="shared" si="53"/>
        <v>688.55</v>
      </c>
      <c r="H735" s="457">
        <f>G735/C735*100</f>
        <v>2603.21361058601</v>
      </c>
      <c r="I735" s="461">
        <f>101.28+951.17</f>
        <v>1052.45</v>
      </c>
      <c r="J735" s="459">
        <f t="shared" si="52"/>
        <v>946.59</v>
      </c>
      <c r="K735" s="460">
        <f>J735/D735*100</f>
        <v>894.190440204043</v>
      </c>
      <c r="M735">
        <f t="shared" si="54"/>
        <v>0</v>
      </c>
      <c r="N735" s="415"/>
      <c r="O735" s="415"/>
      <c r="P735">
        <v>53</v>
      </c>
      <c r="Q735">
        <v>45</v>
      </c>
    </row>
    <row r="736" customFormat="1" ht="20" hidden="1" customHeight="1" spans="1:17">
      <c r="A736" s="418">
        <v>2110502</v>
      </c>
      <c r="B736" s="239" t="s">
        <v>701</v>
      </c>
      <c r="C736" s="461">
        <v>0</v>
      </c>
      <c r="D736" s="461"/>
      <c r="E736" s="461">
        <v>0</v>
      </c>
      <c r="F736" s="457"/>
      <c r="G736" s="458">
        <f t="shared" si="53"/>
        <v>0</v>
      </c>
      <c r="H736" s="457"/>
      <c r="I736" s="461"/>
      <c r="J736" s="459">
        <f t="shared" si="52"/>
        <v>0</v>
      </c>
      <c r="K736" s="460"/>
      <c r="M736">
        <f t="shared" si="54"/>
        <v>0</v>
      </c>
      <c r="N736" s="415"/>
      <c r="O736" s="415"/>
    </row>
    <row r="737" customFormat="1" ht="20" hidden="1" customHeight="1" spans="1:15">
      <c r="A737" s="418">
        <v>2110503</v>
      </c>
      <c r="B737" s="239" t="s">
        <v>702</v>
      </c>
      <c r="C737" s="461">
        <v>0</v>
      </c>
      <c r="D737" s="461"/>
      <c r="E737" s="461">
        <v>0</v>
      </c>
      <c r="F737" s="457"/>
      <c r="G737" s="458">
        <f t="shared" si="53"/>
        <v>0</v>
      </c>
      <c r="H737" s="457"/>
      <c r="I737" s="461"/>
      <c r="J737" s="459">
        <f t="shared" si="52"/>
        <v>0</v>
      </c>
      <c r="K737" s="460"/>
      <c r="M737">
        <f t="shared" si="54"/>
        <v>0</v>
      </c>
      <c r="N737" s="415"/>
      <c r="O737" s="415"/>
    </row>
    <row r="738" customFormat="1" ht="20" hidden="1" customHeight="1" spans="1:15">
      <c r="A738" s="418">
        <v>2110506</v>
      </c>
      <c r="B738" s="239" t="s">
        <v>703</v>
      </c>
      <c r="C738" s="461">
        <v>0</v>
      </c>
      <c r="D738" s="461"/>
      <c r="E738" s="461">
        <v>0</v>
      </c>
      <c r="F738" s="457"/>
      <c r="G738" s="458">
        <f t="shared" si="53"/>
        <v>0</v>
      </c>
      <c r="H738" s="457"/>
      <c r="I738" s="461"/>
      <c r="J738" s="459">
        <f t="shared" si="52"/>
        <v>0</v>
      </c>
      <c r="K738" s="460"/>
      <c r="M738">
        <f t="shared" si="54"/>
        <v>0</v>
      </c>
      <c r="N738" s="415"/>
      <c r="O738" s="415"/>
    </row>
    <row r="739" customFormat="1" ht="20" hidden="1" customHeight="1" spans="1:15">
      <c r="A739" s="418">
        <v>2110507</v>
      </c>
      <c r="B739" s="239" t="s">
        <v>704</v>
      </c>
      <c r="C739" s="461">
        <v>0</v>
      </c>
      <c r="D739" s="461"/>
      <c r="E739" s="461">
        <v>0</v>
      </c>
      <c r="F739" s="457"/>
      <c r="G739" s="458">
        <f t="shared" si="53"/>
        <v>0</v>
      </c>
      <c r="H739" s="457"/>
      <c r="I739" s="461"/>
      <c r="J739" s="459">
        <f t="shared" si="52"/>
        <v>0</v>
      </c>
      <c r="K739" s="460"/>
      <c r="M739">
        <f t="shared" si="54"/>
        <v>0</v>
      </c>
      <c r="N739" s="415"/>
      <c r="O739" s="415"/>
    </row>
    <row r="740" customFormat="1" ht="20" hidden="1" customHeight="1" spans="1:15">
      <c r="A740" s="418">
        <v>2110599</v>
      </c>
      <c r="B740" s="239" t="s">
        <v>705</v>
      </c>
      <c r="C740" s="461">
        <v>0</v>
      </c>
      <c r="D740" s="461"/>
      <c r="E740" s="461">
        <v>0</v>
      </c>
      <c r="F740" s="457"/>
      <c r="G740" s="458">
        <f t="shared" si="53"/>
        <v>0</v>
      </c>
      <c r="H740" s="457"/>
      <c r="I740" s="461"/>
      <c r="J740" s="459">
        <f t="shared" si="52"/>
        <v>0</v>
      </c>
      <c r="K740" s="460"/>
      <c r="M740">
        <f t="shared" si="54"/>
        <v>0</v>
      </c>
      <c r="N740" s="415"/>
      <c r="O740" s="415"/>
    </row>
    <row r="741" customFormat="1" ht="20" hidden="1" customHeight="1" spans="1:15">
      <c r="A741" s="416">
        <v>21107</v>
      </c>
      <c r="B741" s="427" t="s">
        <v>706</v>
      </c>
      <c r="C741" s="461">
        <v>0</v>
      </c>
      <c r="D741" s="461"/>
      <c r="E741" s="461">
        <v>0</v>
      </c>
      <c r="F741" s="457"/>
      <c r="G741" s="458">
        <f t="shared" si="53"/>
        <v>0</v>
      </c>
      <c r="H741" s="457"/>
      <c r="I741" s="461"/>
      <c r="J741" s="459">
        <f t="shared" si="52"/>
        <v>0</v>
      </c>
      <c r="K741" s="460"/>
      <c r="M741">
        <f t="shared" si="54"/>
        <v>0</v>
      </c>
      <c r="N741" s="415"/>
      <c r="O741" s="415"/>
    </row>
    <row r="742" customFormat="1" ht="20" hidden="1" customHeight="1" spans="1:15">
      <c r="A742" s="418">
        <v>2110704</v>
      </c>
      <c r="B742" s="239" t="s">
        <v>707</v>
      </c>
      <c r="C742" s="461">
        <v>0</v>
      </c>
      <c r="D742" s="461"/>
      <c r="E742" s="461">
        <v>0</v>
      </c>
      <c r="F742" s="457"/>
      <c r="G742" s="458">
        <f t="shared" si="53"/>
        <v>0</v>
      </c>
      <c r="H742" s="457"/>
      <c r="I742" s="461"/>
      <c r="J742" s="459">
        <f t="shared" si="52"/>
        <v>0</v>
      </c>
      <c r="K742" s="460"/>
      <c r="M742">
        <f t="shared" si="54"/>
        <v>0</v>
      </c>
      <c r="N742" s="415"/>
      <c r="O742" s="415"/>
    </row>
    <row r="743" customFormat="1" ht="20" hidden="1" customHeight="1" spans="1:15">
      <c r="A743" s="418">
        <v>2110799</v>
      </c>
      <c r="B743" s="239" t="s">
        <v>708</v>
      </c>
      <c r="C743" s="461">
        <v>0</v>
      </c>
      <c r="D743" s="461"/>
      <c r="E743" s="461">
        <v>0</v>
      </c>
      <c r="F743" s="457"/>
      <c r="G743" s="458">
        <f t="shared" si="53"/>
        <v>0</v>
      </c>
      <c r="H743" s="457"/>
      <c r="I743" s="461"/>
      <c r="J743" s="459">
        <f t="shared" si="52"/>
        <v>0</v>
      </c>
      <c r="K743" s="460"/>
      <c r="M743">
        <f t="shared" si="54"/>
        <v>0</v>
      </c>
      <c r="N743" s="415"/>
      <c r="O743" s="415"/>
    </row>
    <row r="744" customFormat="1" ht="20" hidden="1" customHeight="1" spans="1:15">
      <c r="A744" s="416">
        <v>21108</v>
      </c>
      <c r="B744" s="427" t="s">
        <v>709</v>
      </c>
      <c r="C744" s="461">
        <v>0</v>
      </c>
      <c r="D744" s="461"/>
      <c r="E744" s="461">
        <v>0</v>
      </c>
      <c r="F744" s="457"/>
      <c r="G744" s="458">
        <f t="shared" si="53"/>
        <v>0</v>
      </c>
      <c r="H744" s="457"/>
      <c r="I744" s="461"/>
      <c r="J744" s="459">
        <f t="shared" si="52"/>
        <v>0</v>
      </c>
      <c r="K744" s="460"/>
      <c r="M744">
        <f t="shared" si="54"/>
        <v>0</v>
      </c>
      <c r="N744" s="415"/>
      <c r="O744" s="415"/>
    </row>
    <row r="745" customFormat="1" ht="20" hidden="1" customHeight="1" spans="1:15">
      <c r="A745" s="418">
        <v>2110804</v>
      </c>
      <c r="B745" s="239" t="s">
        <v>710</v>
      </c>
      <c r="C745" s="461">
        <v>0</v>
      </c>
      <c r="D745" s="461"/>
      <c r="E745" s="461">
        <v>0</v>
      </c>
      <c r="F745" s="457"/>
      <c r="G745" s="458">
        <f t="shared" si="53"/>
        <v>0</v>
      </c>
      <c r="H745" s="457"/>
      <c r="I745" s="461"/>
      <c r="J745" s="459">
        <f t="shared" si="52"/>
        <v>0</v>
      </c>
      <c r="K745" s="460"/>
      <c r="M745">
        <f t="shared" si="54"/>
        <v>0</v>
      </c>
      <c r="N745" s="415"/>
      <c r="O745" s="415"/>
    </row>
    <row r="746" customFormat="1" ht="20" hidden="1" customHeight="1" spans="1:15">
      <c r="A746" s="418">
        <v>2110899</v>
      </c>
      <c r="B746" s="239" t="s">
        <v>711</v>
      </c>
      <c r="C746" s="461">
        <v>0</v>
      </c>
      <c r="D746" s="461"/>
      <c r="E746" s="461">
        <v>0</v>
      </c>
      <c r="F746" s="457"/>
      <c r="G746" s="458">
        <f t="shared" si="53"/>
        <v>0</v>
      </c>
      <c r="H746" s="457"/>
      <c r="I746" s="461"/>
      <c r="J746" s="459">
        <f t="shared" si="52"/>
        <v>0</v>
      </c>
      <c r="K746" s="460"/>
      <c r="M746">
        <f t="shared" si="54"/>
        <v>0</v>
      </c>
      <c r="N746" s="415"/>
      <c r="O746" s="415"/>
    </row>
    <row r="747" customFormat="1" ht="20" hidden="1" customHeight="1" spans="1:15">
      <c r="A747" s="416">
        <v>21109</v>
      </c>
      <c r="B747" s="427" t="s">
        <v>712</v>
      </c>
      <c r="C747" s="461">
        <v>0</v>
      </c>
      <c r="D747" s="461"/>
      <c r="E747" s="461">
        <v>0</v>
      </c>
      <c r="F747" s="457"/>
      <c r="G747" s="458">
        <f t="shared" si="53"/>
        <v>0</v>
      </c>
      <c r="H747" s="457"/>
      <c r="I747" s="461"/>
      <c r="J747" s="459">
        <f t="shared" si="52"/>
        <v>0</v>
      </c>
      <c r="K747" s="460"/>
      <c r="M747">
        <f t="shared" si="54"/>
        <v>0</v>
      </c>
      <c r="N747" s="415"/>
      <c r="O747" s="415"/>
    </row>
    <row r="748" customFormat="1" ht="20" hidden="1" customHeight="1" spans="1:15">
      <c r="A748" s="416">
        <v>21110</v>
      </c>
      <c r="B748" s="427" t="s">
        <v>713</v>
      </c>
      <c r="C748" s="461">
        <v>0.879907</v>
      </c>
      <c r="D748" s="461"/>
      <c r="E748" s="461"/>
      <c r="F748" s="457"/>
      <c r="G748" s="458">
        <f t="shared" si="53"/>
        <v>-0.879907</v>
      </c>
      <c r="H748" s="457">
        <f>G748/C748*100</f>
        <v>-100</v>
      </c>
      <c r="I748" s="461"/>
      <c r="J748" s="459">
        <f t="shared" si="52"/>
        <v>0</v>
      </c>
      <c r="K748" s="460"/>
      <c r="M748">
        <f t="shared" si="54"/>
        <v>0</v>
      </c>
      <c r="N748" s="415"/>
      <c r="O748" s="415"/>
    </row>
    <row r="749" customFormat="1" ht="20" hidden="1" customHeight="1" spans="1:15">
      <c r="A749" s="416">
        <v>21111</v>
      </c>
      <c r="B749" s="427" t="s">
        <v>714</v>
      </c>
      <c r="C749" s="461">
        <v>0</v>
      </c>
      <c r="D749" s="461"/>
      <c r="E749" s="461">
        <v>0</v>
      </c>
      <c r="F749" s="457"/>
      <c r="G749" s="458">
        <f t="shared" si="53"/>
        <v>0</v>
      </c>
      <c r="H749" s="457"/>
      <c r="I749" s="461"/>
      <c r="J749" s="459">
        <f t="shared" si="52"/>
        <v>0</v>
      </c>
      <c r="K749" s="460"/>
      <c r="M749">
        <f t="shared" si="54"/>
        <v>0</v>
      </c>
      <c r="N749" s="415"/>
      <c r="O749" s="415"/>
    </row>
    <row r="750" customFormat="1" ht="20" hidden="1" customHeight="1" spans="1:15">
      <c r="A750" s="418">
        <v>2111101</v>
      </c>
      <c r="B750" s="239" t="s">
        <v>715</v>
      </c>
      <c r="C750" s="464">
        <v>0</v>
      </c>
      <c r="D750" s="461"/>
      <c r="E750" s="464">
        <v>0</v>
      </c>
      <c r="F750" s="457"/>
      <c r="G750" s="458">
        <f t="shared" si="53"/>
        <v>0</v>
      </c>
      <c r="H750" s="457"/>
      <c r="I750" s="461"/>
      <c r="J750" s="459">
        <f t="shared" si="52"/>
        <v>0</v>
      </c>
      <c r="K750" s="460"/>
      <c r="M750">
        <f t="shared" si="54"/>
        <v>0</v>
      </c>
      <c r="N750" s="415"/>
      <c r="O750" s="415"/>
    </row>
    <row r="751" customFormat="1" ht="20" hidden="1" customHeight="1" spans="1:15">
      <c r="A751" s="418">
        <v>2111102</v>
      </c>
      <c r="B751" s="239" t="s">
        <v>716</v>
      </c>
      <c r="C751" s="464">
        <v>0</v>
      </c>
      <c r="D751" s="461"/>
      <c r="E751" s="464">
        <v>0</v>
      </c>
      <c r="F751" s="457"/>
      <c r="G751" s="458">
        <f t="shared" si="53"/>
        <v>0</v>
      </c>
      <c r="H751" s="457"/>
      <c r="I751" s="461"/>
      <c r="J751" s="459">
        <f t="shared" si="52"/>
        <v>0</v>
      </c>
      <c r="K751" s="460"/>
      <c r="M751">
        <f t="shared" si="54"/>
        <v>0</v>
      </c>
      <c r="N751" s="415"/>
      <c r="O751" s="415"/>
    </row>
    <row r="752" customFormat="1" ht="20" hidden="1" customHeight="1" spans="1:15">
      <c r="A752" s="418">
        <v>2111103</v>
      </c>
      <c r="B752" s="239" t="s">
        <v>717</v>
      </c>
      <c r="C752" s="464">
        <v>0</v>
      </c>
      <c r="D752" s="461"/>
      <c r="E752" s="464">
        <v>0</v>
      </c>
      <c r="F752" s="457"/>
      <c r="G752" s="458">
        <f t="shared" si="53"/>
        <v>0</v>
      </c>
      <c r="H752" s="457"/>
      <c r="I752" s="461"/>
      <c r="J752" s="459">
        <f t="shared" si="52"/>
        <v>0</v>
      </c>
      <c r="K752" s="460"/>
      <c r="M752">
        <f t="shared" si="54"/>
        <v>0</v>
      </c>
      <c r="N752" s="415"/>
      <c r="O752" s="415"/>
    </row>
    <row r="753" customFormat="1" ht="20" hidden="1" customHeight="1" spans="1:15">
      <c r="A753" s="418">
        <v>2111104</v>
      </c>
      <c r="B753" s="239" t="s">
        <v>718</v>
      </c>
      <c r="C753" s="464">
        <v>0</v>
      </c>
      <c r="D753" s="461"/>
      <c r="E753" s="464">
        <v>0</v>
      </c>
      <c r="F753" s="457"/>
      <c r="G753" s="458">
        <f t="shared" si="53"/>
        <v>0</v>
      </c>
      <c r="H753" s="457"/>
      <c r="I753" s="461"/>
      <c r="J753" s="459">
        <f t="shared" si="52"/>
        <v>0</v>
      </c>
      <c r="K753" s="460"/>
      <c r="M753">
        <f t="shared" si="54"/>
        <v>0</v>
      </c>
      <c r="N753" s="415"/>
      <c r="O753" s="415"/>
    </row>
    <row r="754" customFormat="1" ht="20" hidden="1" customHeight="1" spans="1:15">
      <c r="A754" s="418">
        <v>2111199</v>
      </c>
      <c r="B754" s="239" t="s">
        <v>719</v>
      </c>
      <c r="C754" s="464">
        <v>0</v>
      </c>
      <c r="D754" s="461"/>
      <c r="E754" s="464">
        <v>0</v>
      </c>
      <c r="F754" s="457"/>
      <c r="G754" s="458">
        <f t="shared" si="53"/>
        <v>0</v>
      </c>
      <c r="H754" s="457"/>
      <c r="I754" s="461"/>
      <c r="J754" s="459">
        <f t="shared" si="52"/>
        <v>0</v>
      </c>
      <c r="K754" s="460"/>
      <c r="M754">
        <f t="shared" si="54"/>
        <v>0</v>
      </c>
      <c r="N754" s="415"/>
      <c r="O754" s="415"/>
    </row>
    <row r="755" customFormat="1" ht="20" hidden="1" customHeight="1" spans="1:15">
      <c r="A755" s="416">
        <v>21112</v>
      </c>
      <c r="B755" s="427" t="s">
        <v>720</v>
      </c>
      <c r="C755" s="461">
        <v>0</v>
      </c>
      <c r="D755" s="461"/>
      <c r="E755" s="461">
        <v>0</v>
      </c>
      <c r="F755" s="457"/>
      <c r="G755" s="458">
        <f t="shared" si="53"/>
        <v>0</v>
      </c>
      <c r="H755" s="457"/>
      <c r="I755" s="461"/>
      <c r="J755" s="459">
        <f t="shared" si="52"/>
        <v>0</v>
      </c>
      <c r="K755" s="460"/>
      <c r="M755">
        <f t="shared" si="54"/>
        <v>0</v>
      </c>
      <c r="N755" s="415"/>
      <c r="O755" s="415"/>
    </row>
    <row r="756" customFormat="1" ht="20" hidden="1" customHeight="1" spans="1:15">
      <c r="A756" s="416">
        <v>21113</v>
      </c>
      <c r="B756" s="427" t="s">
        <v>721</v>
      </c>
      <c r="C756" s="461">
        <v>0</v>
      </c>
      <c r="D756" s="461"/>
      <c r="E756" s="461">
        <v>0</v>
      </c>
      <c r="F756" s="457"/>
      <c r="G756" s="458">
        <f t="shared" si="53"/>
        <v>0</v>
      </c>
      <c r="H756" s="457"/>
      <c r="I756" s="461"/>
      <c r="J756" s="459">
        <f t="shared" si="52"/>
        <v>0</v>
      </c>
      <c r="K756" s="460"/>
      <c r="M756">
        <f t="shared" si="54"/>
        <v>0</v>
      </c>
      <c r="N756" s="415"/>
      <c r="O756" s="415"/>
    </row>
    <row r="757" customFormat="1" ht="20" hidden="1" customHeight="1" spans="1:15">
      <c r="A757" s="416">
        <v>21114</v>
      </c>
      <c r="B757" s="427" t="s">
        <v>722</v>
      </c>
      <c r="C757" s="461">
        <v>0</v>
      </c>
      <c r="D757" s="461"/>
      <c r="E757" s="461">
        <v>0</v>
      </c>
      <c r="F757" s="457"/>
      <c r="G757" s="458">
        <f t="shared" si="53"/>
        <v>0</v>
      </c>
      <c r="H757" s="457"/>
      <c r="I757" s="461"/>
      <c r="J757" s="459">
        <f t="shared" si="52"/>
        <v>0</v>
      </c>
      <c r="K757" s="460"/>
      <c r="M757">
        <f t="shared" si="54"/>
        <v>0</v>
      </c>
      <c r="N757" s="415"/>
      <c r="O757" s="415"/>
    </row>
    <row r="758" customFormat="1" ht="20" hidden="1" customHeight="1" spans="1:15">
      <c r="A758" s="418">
        <v>2111401</v>
      </c>
      <c r="B758" s="239" t="s">
        <v>165</v>
      </c>
      <c r="C758" s="461">
        <v>0</v>
      </c>
      <c r="D758" s="461"/>
      <c r="E758" s="461">
        <v>0</v>
      </c>
      <c r="F758" s="457"/>
      <c r="G758" s="458">
        <f t="shared" si="53"/>
        <v>0</v>
      </c>
      <c r="H758" s="457"/>
      <c r="I758" s="461"/>
      <c r="J758" s="459">
        <f t="shared" si="52"/>
        <v>0</v>
      </c>
      <c r="K758" s="460"/>
      <c r="M758">
        <f t="shared" si="54"/>
        <v>0</v>
      </c>
      <c r="N758" s="415"/>
      <c r="O758" s="415"/>
    </row>
    <row r="759" customFormat="1" ht="20" hidden="1" customHeight="1" spans="1:15">
      <c r="A759" s="418">
        <v>2111402</v>
      </c>
      <c r="B759" s="239" t="s">
        <v>166</v>
      </c>
      <c r="C759" s="461">
        <v>0</v>
      </c>
      <c r="D759" s="461"/>
      <c r="E759" s="461">
        <v>0</v>
      </c>
      <c r="F759" s="457"/>
      <c r="G759" s="458">
        <f t="shared" si="53"/>
        <v>0</v>
      </c>
      <c r="H759" s="457"/>
      <c r="I759" s="461"/>
      <c r="J759" s="459">
        <f t="shared" si="52"/>
        <v>0</v>
      </c>
      <c r="K759" s="460"/>
      <c r="M759">
        <f t="shared" si="54"/>
        <v>0</v>
      </c>
      <c r="N759" s="415"/>
      <c r="O759" s="415"/>
    </row>
    <row r="760" customFormat="1" ht="20" hidden="1" customHeight="1" spans="1:15">
      <c r="A760" s="418">
        <v>2111403</v>
      </c>
      <c r="B760" s="239" t="s">
        <v>167</v>
      </c>
      <c r="C760" s="461">
        <v>0</v>
      </c>
      <c r="D760" s="461"/>
      <c r="E760" s="461">
        <v>0</v>
      </c>
      <c r="F760" s="457"/>
      <c r="G760" s="458">
        <f t="shared" si="53"/>
        <v>0</v>
      </c>
      <c r="H760" s="457"/>
      <c r="I760" s="461"/>
      <c r="J760" s="459">
        <f t="shared" si="52"/>
        <v>0</v>
      </c>
      <c r="K760" s="460"/>
      <c r="M760">
        <f t="shared" si="54"/>
        <v>0</v>
      </c>
      <c r="N760" s="415"/>
      <c r="O760" s="415"/>
    </row>
    <row r="761" customFormat="1" ht="20" hidden="1" customHeight="1" spans="1:15">
      <c r="A761" s="418">
        <v>2111406</v>
      </c>
      <c r="B761" s="239" t="s">
        <v>723</v>
      </c>
      <c r="C761" s="461">
        <v>0</v>
      </c>
      <c r="D761" s="461"/>
      <c r="E761" s="461">
        <v>0</v>
      </c>
      <c r="F761" s="457"/>
      <c r="G761" s="458">
        <f t="shared" si="53"/>
        <v>0</v>
      </c>
      <c r="H761" s="457"/>
      <c r="I761" s="461"/>
      <c r="J761" s="459">
        <f t="shared" si="52"/>
        <v>0</v>
      </c>
      <c r="K761" s="460"/>
      <c r="M761">
        <f t="shared" si="54"/>
        <v>0</v>
      </c>
      <c r="N761" s="415"/>
      <c r="O761" s="415"/>
    </row>
    <row r="762" customFormat="1" ht="20" hidden="1" customHeight="1" spans="1:15">
      <c r="A762" s="418">
        <v>2111407</v>
      </c>
      <c r="B762" s="239" t="s">
        <v>724</v>
      </c>
      <c r="C762" s="461">
        <v>0</v>
      </c>
      <c r="D762" s="461"/>
      <c r="E762" s="461">
        <v>0</v>
      </c>
      <c r="F762" s="457"/>
      <c r="G762" s="458">
        <f t="shared" si="53"/>
        <v>0</v>
      </c>
      <c r="H762" s="457"/>
      <c r="I762" s="461"/>
      <c r="J762" s="459">
        <f t="shared" si="52"/>
        <v>0</v>
      </c>
      <c r="K762" s="460"/>
      <c r="M762">
        <f t="shared" si="54"/>
        <v>0</v>
      </c>
      <c r="N762" s="415"/>
      <c r="O762" s="415"/>
    </row>
    <row r="763" customFormat="1" ht="20" hidden="1" customHeight="1" spans="1:15">
      <c r="A763" s="418">
        <v>2111408</v>
      </c>
      <c r="B763" s="239" t="s">
        <v>725</v>
      </c>
      <c r="C763" s="461">
        <v>0</v>
      </c>
      <c r="D763" s="461"/>
      <c r="E763" s="461">
        <v>0</v>
      </c>
      <c r="F763" s="457"/>
      <c r="G763" s="458">
        <f t="shared" si="53"/>
        <v>0</v>
      </c>
      <c r="H763" s="457"/>
      <c r="I763" s="461"/>
      <c r="J763" s="459">
        <f t="shared" si="52"/>
        <v>0</v>
      </c>
      <c r="K763" s="460"/>
      <c r="M763">
        <f t="shared" si="54"/>
        <v>0</v>
      </c>
      <c r="N763" s="415"/>
      <c r="O763" s="415"/>
    </row>
    <row r="764" customFormat="1" ht="20" hidden="1" customHeight="1" spans="1:15">
      <c r="A764" s="418">
        <v>2111411</v>
      </c>
      <c r="B764" s="239" t="s">
        <v>207</v>
      </c>
      <c r="C764" s="461">
        <v>0</v>
      </c>
      <c r="D764" s="461"/>
      <c r="E764" s="461">
        <v>0</v>
      </c>
      <c r="F764" s="457"/>
      <c r="G764" s="458">
        <f t="shared" si="53"/>
        <v>0</v>
      </c>
      <c r="H764" s="457"/>
      <c r="I764" s="461"/>
      <c r="J764" s="459">
        <f t="shared" si="52"/>
        <v>0</v>
      </c>
      <c r="K764" s="460"/>
      <c r="M764">
        <f t="shared" si="54"/>
        <v>0</v>
      </c>
      <c r="N764" s="415"/>
      <c r="O764" s="415"/>
    </row>
    <row r="765" customFormat="1" ht="20" hidden="1" customHeight="1" spans="1:15">
      <c r="A765" s="418">
        <v>2111413</v>
      </c>
      <c r="B765" s="239" t="s">
        <v>726</v>
      </c>
      <c r="C765" s="461">
        <v>0</v>
      </c>
      <c r="D765" s="461"/>
      <c r="E765" s="461">
        <v>0</v>
      </c>
      <c r="F765" s="457"/>
      <c r="G765" s="458">
        <f t="shared" si="53"/>
        <v>0</v>
      </c>
      <c r="H765" s="457"/>
      <c r="I765" s="461"/>
      <c r="J765" s="459">
        <f t="shared" si="52"/>
        <v>0</v>
      </c>
      <c r="K765" s="460"/>
      <c r="M765">
        <f t="shared" si="54"/>
        <v>0</v>
      </c>
      <c r="N765" s="415"/>
      <c r="O765" s="415"/>
    </row>
    <row r="766" customFormat="1" ht="20" hidden="1" customHeight="1" spans="1:15">
      <c r="A766" s="418">
        <v>2111450</v>
      </c>
      <c r="B766" s="239" t="s">
        <v>174</v>
      </c>
      <c r="C766" s="461">
        <v>0</v>
      </c>
      <c r="D766" s="461"/>
      <c r="E766" s="461">
        <v>0</v>
      </c>
      <c r="F766" s="457"/>
      <c r="G766" s="458">
        <f t="shared" si="53"/>
        <v>0</v>
      </c>
      <c r="H766" s="457"/>
      <c r="I766" s="461"/>
      <c r="J766" s="459">
        <f t="shared" si="52"/>
        <v>0</v>
      </c>
      <c r="K766" s="460"/>
      <c r="M766">
        <f t="shared" si="54"/>
        <v>0</v>
      </c>
      <c r="N766" s="415"/>
      <c r="O766" s="415"/>
    </row>
    <row r="767" customFormat="1" ht="20" hidden="1" customHeight="1" spans="1:15">
      <c r="A767" s="418">
        <v>2111499</v>
      </c>
      <c r="B767" s="239" t="s">
        <v>727</v>
      </c>
      <c r="C767" s="461">
        <v>0</v>
      </c>
      <c r="D767" s="461"/>
      <c r="E767" s="461">
        <v>0</v>
      </c>
      <c r="F767" s="457"/>
      <c r="G767" s="458">
        <f t="shared" si="53"/>
        <v>0</v>
      </c>
      <c r="H767" s="457"/>
      <c r="I767" s="461"/>
      <c r="J767" s="459">
        <f t="shared" si="52"/>
        <v>0</v>
      </c>
      <c r="K767" s="460"/>
      <c r="M767">
        <f t="shared" si="54"/>
        <v>0</v>
      </c>
      <c r="N767" s="415"/>
      <c r="O767" s="415"/>
    </row>
    <row r="768" customFormat="1" ht="20" hidden="1" customHeight="1" spans="1:15">
      <c r="A768" s="416">
        <v>21199</v>
      </c>
      <c r="B768" s="427" t="s">
        <v>728</v>
      </c>
      <c r="C768" s="461">
        <v>0</v>
      </c>
      <c r="D768" s="461"/>
      <c r="E768" s="461">
        <v>0</v>
      </c>
      <c r="F768" s="457"/>
      <c r="G768" s="458">
        <f t="shared" si="53"/>
        <v>0</v>
      </c>
      <c r="H768" s="457"/>
      <c r="I768" s="461"/>
      <c r="J768" s="459">
        <f t="shared" si="52"/>
        <v>0</v>
      </c>
      <c r="K768" s="460"/>
      <c r="M768">
        <f t="shared" si="54"/>
        <v>0</v>
      </c>
      <c r="N768" s="415"/>
      <c r="O768" s="415"/>
    </row>
    <row r="769" s="278" customFormat="1" ht="20" customHeight="1" spans="1:17">
      <c r="A769" s="412">
        <v>212</v>
      </c>
      <c r="B769" s="413" t="s">
        <v>729</v>
      </c>
      <c r="C769" s="346">
        <f>C770+C781+C782+C785+C786+C787</f>
        <v>17726.484447</v>
      </c>
      <c r="D769" s="346">
        <f>D770+D781+D782+D785+D786+D787</f>
        <v>6387.2233</v>
      </c>
      <c r="E769" s="346">
        <f>E770+E781+E782+E785+E786+E787</f>
        <v>14389</v>
      </c>
      <c r="F769" s="414">
        <f>E769/D769*100</f>
        <v>225.277860568927</v>
      </c>
      <c r="G769" s="346">
        <f t="shared" si="53"/>
        <v>-3337.484447</v>
      </c>
      <c r="H769" s="414">
        <f>G769/C769*100</f>
        <v>-18.8276725539047</v>
      </c>
      <c r="I769" s="346">
        <f>I770+I781+I782+I785+I786+I787</f>
        <v>12570.073921</v>
      </c>
      <c r="J769" s="307">
        <f t="shared" si="52"/>
        <v>6182.850621</v>
      </c>
      <c r="K769" s="306">
        <f>J769/D769*100</f>
        <v>96.800289117808</v>
      </c>
      <c r="M769" s="278">
        <f t="shared" si="54"/>
        <v>0</v>
      </c>
      <c r="N769" s="415"/>
      <c r="O769" s="415"/>
    </row>
    <row r="770" customFormat="1" ht="20" hidden="1" customHeight="1" spans="1:17">
      <c r="A770" s="416">
        <v>21201</v>
      </c>
      <c r="B770" s="427" t="s">
        <v>730</v>
      </c>
      <c r="C770" s="461">
        <f>SUM(C771:C780)</f>
        <v>7947.952524</v>
      </c>
      <c r="D770" s="461">
        <f>SUM(D771:D780)</f>
        <v>4704.828573</v>
      </c>
      <c r="E770" s="461">
        <f>SUM(E771:E780)</f>
        <v>5525</v>
      </c>
      <c r="F770" s="457">
        <f>E770/D770*100</f>
        <v>117.432546463155</v>
      </c>
      <c r="G770" s="458">
        <f t="shared" si="53"/>
        <v>-2422.952524</v>
      </c>
      <c r="H770" s="457">
        <f>G770/C770*100</f>
        <v>-30.4852415346411</v>
      </c>
      <c r="I770" s="461">
        <f>SUM(I771:I780)</f>
        <v>5159.850207</v>
      </c>
      <c r="J770" s="459">
        <f t="shared" si="52"/>
        <v>455.021634000001</v>
      </c>
      <c r="K770" s="460">
        <f>J770/D770*100</f>
        <v>9.67137541655124</v>
      </c>
      <c r="M770">
        <f t="shared" si="54"/>
        <v>0</v>
      </c>
      <c r="N770" s="415"/>
      <c r="O770" s="415"/>
    </row>
    <row r="771" customFormat="1" ht="20" hidden="1" customHeight="1" spans="1:17">
      <c r="A771" s="418">
        <v>2120101</v>
      </c>
      <c r="B771" s="239" t="s">
        <v>731</v>
      </c>
      <c r="C771" s="464">
        <v>1762.417336</v>
      </c>
      <c r="D771" s="461">
        <v>687.236437</v>
      </c>
      <c r="E771" s="464">
        <v>1082</v>
      </c>
      <c r="F771" s="457">
        <f>E771/D771*100</f>
        <v>157.442175901392</v>
      </c>
      <c r="G771" s="458">
        <f t="shared" si="53"/>
        <v>-680.417336</v>
      </c>
      <c r="H771" s="457">
        <f>G771/C771*100</f>
        <v>-38.6070496528525</v>
      </c>
      <c r="I771" s="461">
        <v>581.63</v>
      </c>
      <c r="J771" s="459">
        <f t="shared" si="52"/>
        <v>-105.606437</v>
      </c>
      <c r="K771" s="460">
        <f>J771/D771*100</f>
        <v>-15.3668273849106</v>
      </c>
      <c r="M771">
        <f t="shared" si="54"/>
        <v>467</v>
      </c>
      <c r="N771" s="415">
        <v>467</v>
      </c>
      <c r="O771" s="415"/>
    </row>
    <row r="772" customFormat="1" ht="20" hidden="1" customHeight="1" spans="1:17">
      <c r="A772" s="418">
        <v>2120102</v>
      </c>
      <c r="B772" s="239" t="s">
        <v>732</v>
      </c>
      <c r="C772" s="464">
        <v>2635.602886</v>
      </c>
      <c r="D772" s="461">
        <v>47.82051</v>
      </c>
      <c r="E772" s="464">
        <v>159</v>
      </c>
      <c r="F772" s="457">
        <f>E772/D772*100</f>
        <v>332.493317197997</v>
      </c>
      <c r="G772" s="458">
        <f t="shared" si="53"/>
        <v>-2476.602886</v>
      </c>
      <c r="H772" s="457">
        <f>G772/C772*100</f>
        <v>-93.9672246966875</v>
      </c>
      <c r="I772" s="461">
        <v>172.46</v>
      </c>
      <c r="J772" s="459">
        <f t="shared" si="52"/>
        <v>124.63949</v>
      </c>
      <c r="K772" s="460">
        <f>J772/D772*100</f>
        <v>260.640235748218</v>
      </c>
      <c r="M772">
        <f t="shared" si="54"/>
        <v>76</v>
      </c>
      <c r="N772" s="415">
        <v>76</v>
      </c>
      <c r="O772" s="415"/>
    </row>
    <row r="773" customFormat="1" ht="20" hidden="1" customHeight="1" spans="1:17">
      <c r="A773" s="418">
        <v>2120103</v>
      </c>
      <c r="B773" s="239" t="s">
        <v>733</v>
      </c>
      <c r="C773" s="464">
        <v>0</v>
      </c>
      <c r="D773" s="461"/>
      <c r="E773" s="464">
        <v>0</v>
      </c>
      <c r="F773" s="457"/>
      <c r="G773" s="458">
        <f t="shared" si="53"/>
        <v>0</v>
      </c>
      <c r="H773" s="457"/>
      <c r="I773" s="461"/>
      <c r="J773" s="459">
        <f t="shared" si="52"/>
        <v>0</v>
      </c>
      <c r="K773" s="460"/>
      <c r="M773">
        <f t="shared" si="54"/>
        <v>0</v>
      </c>
      <c r="N773" s="415"/>
      <c r="O773" s="415"/>
    </row>
    <row r="774" customFormat="1" ht="20" hidden="1" customHeight="1" spans="1:17">
      <c r="A774" s="418">
        <v>2120104</v>
      </c>
      <c r="B774" s="239" t="s">
        <v>734</v>
      </c>
      <c r="C774" s="464">
        <v>1045.6134</v>
      </c>
      <c r="D774" s="461">
        <v>1495.098553</v>
      </c>
      <c r="E774" s="464">
        <v>1804</v>
      </c>
      <c r="F774" s="457">
        <f>E774/D774*100</f>
        <v>120.660942141919</v>
      </c>
      <c r="G774" s="458">
        <f t="shared" si="53"/>
        <v>758.3866</v>
      </c>
      <c r="H774" s="457">
        <f>G774/C774*100</f>
        <v>72.5303061341792</v>
      </c>
      <c r="I774" s="461">
        <v>1789.14</v>
      </c>
      <c r="J774" s="459">
        <f t="shared" si="52"/>
        <v>294.041447</v>
      </c>
      <c r="K774" s="460">
        <f>J774/D774*100</f>
        <v>19.6670277293754</v>
      </c>
      <c r="M774">
        <f t="shared" si="54"/>
        <v>532</v>
      </c>
      <c r="N774" s="415">
        <v>532</v>
      </c>
      <c r="O774" s="415"/>
    </row>
    <row r="775" customFormat="1" ht="20" hidden="1" customHeight="1" spans="1:17">
      <c r="A775" s="418">
        <v>2120105</v>
      </c>
      <c r="B775" s="239" t="s">
        <v>735</v>
      </c>
      <c r="C775" s="464">
        <v>0</v>
      </c>
      <c r="D775" s="461"/>
      <c r="E775" s="464">
        <v>0</v>
      </c>
      <c r="F775" s="457"/>
      <c r="G775" s="458">
        <f t="shared" si="53"/>
        <v>0</v>
      </c>
      <c r="H775" s="457"/>
      <c r="I775" s="461"/>
      <c r="J775" s="459">
        <f t="shared" ref="J775:J838" si="55">I775-D775</f>
        <v>0</v>
      </c>
      <c r="K775" s="460"/>
      <c r="M775">
        <f t="shared" si="54"/>
        <v>0</v>
      </c>
      <c r="N775" s="415"/>
      <c r="O775" s="415"/>
    </row>
    <row r="776" customFormat="1" ht="20" hidden="1" customHeight="1" spans="1:17">
      <c r="A776" s="418">
        <v>2120106</v>
      </c>
      <c r="B776" s="239" t="s">
        <v>736</v>
      </c>
      <c r="C776" s="464">
        <v>92.891597</v>
      </c>
      <c r="D776" s="466">
        <v>89.173095</v>
      </c>
      <c r="E776" s="464">
        <v>84</v>
      </c>
      <c r="F776" s="457">
        <f>E776/D776*100</f>
        <v>94.19881635823</v>
      </c>
      <c r="G776" s="458">
        <f t="shared" ref="G776:G839" si="56">E776-C776</f>
        <v>-8.891597</v>
      </c>
      <c r="H776" s="457">
        <f>G776/C776*100</f>
        <v>-9.57201435561497</v>
      </c>
      <c r="I776" s="462">
        <v>81.130207</v>
      </c>
      <c r="J776" s="459">
        <f t="shared" si="55"/>
        <v>-8.042888</v>
      </c>
      <c r="K776" s="460">
        <f>J776/D776*100</f>
        <v>-9.01941106787872</v>
      </c>
      <c r="M776">
        <f t="shared" si="54"/>
        <v>92</v>
      </c>
      <c r="N776" s="415">
        <v>92</v>
      </c>
      <c r="O776" s="415"/>
    </row>
    <row r="777" customFormat="1" ht="20" hidden="1" customHeight="1" spans="1:17">
      <c r="A777" s="418">
        <v>2120107</v>
      </c>
      <c r="B777" s="239" t="s">
        <v>737</v>
      </c>
      <c r="C777" s="464">
        <v>0</v>
      </c>
      <c r="D777" s="461"/>
      <c r="E777" s="464">
        <v>0</v>
      </c>
      <c r="F777" s="457"/>
      <c r="G777" s="458">
        <f t="shared" si="56"/>
        <v>0</v>
      </c>
      <c r="H777" s="457"/>
      <c r="I777" s="461"/>
      <c r="J777" s="459">
        <f t="shared" si="55"/>
        <v>0</v>
      </c>
      <c r="K777" s="460"/>
      <c r="M777">
        <f t="shared" si="54"/>
        <v>0</v>
      </c>
      <c r="N777" s="415"/>
      <c r="O777" s="415"/>
    </row>
    <row r="778" customFormat="1" ht="20" hidden="1" customHeight="1" spans="1:17">
      <c r="A778" s="418">
        <v>2120109</v>
      </c>
      <c r="B778" s="239" t="s">
        <v>738</v>
      </c>
      <c r="C778" s="464">
        <v>0</v>
      </c>
      <c r="D778" s="461"/>
      <c r="E778" s="464">
        <v>0</v>
      </c>
      <c r="F778" s="457"/>
      <c r="G778" s="458">
        <f t="shared" si="56"/>
        <v>0</v>
      </c>
      <c r="H778" s="457"/>
      <c r="I778" s="461"/>
      <c r="J778" s="459">
        <f t="shared" si="55"/>
        <v>0</v>
      </c>
      <c r="K778" s="460"/>
      <c r="M778">
        <f t="shared" si="54"/>
        <v>0</v>
      </c>
      <c r="N778" s="415"/>
      <c r="O778" s="415"/>
    </row>
    <row r="779" customFormat="1" ht="20" hidden="1" customHeight="1" spans="1:17">
      <c r="A779" s="418">
        <v>2120110</v>
      </c>
      <c r="B779" s="239" t="s">
        <v>739</v>
      </c>
      <c r="C779" s="464">
        <v>0</v>
      </c>
      <c r="D779" s="461"/>
      <c r="E779" s="464">
        <v>0</v>
      </c>
      <c r="F779" s="457"/>
      <c r="G779" s="458">
        <f t="shared" si="56"/>
        <v>0</v>
      </c>
      <c r="H779" s="457"/>
      <c r="I779" s="461"/>
      <c r="J779" s="459">
        <f t="shared" si="55"/>
        <v>0</v>
      </c>
      <c r="K779" s="460"/>
      <c r="M779">
        <f t="shared" si="54"/>
        <v>0</v>
      </c>
      <c r="N779" s="415"/>
      <c r="O779" s="415"/>
    </row>
    <row r="780" customFormat="1" ht="20" hidden="1" customHeight="1" spans="1:17">
      <c r="A780" s="418">
        <v>2120199</v>
      </c>
      <c r="B780" s="239" t="s">
        <v>740</v>
      </c>
      <c r="C780" s="464">
        <v>2411.427305</v>
      </c>
      <c r="D780" s="461">
        <v>2385.499978</v>
      </c>
      <c r="E780" s="464">
        <v>2396</v>
      </c>
      <c r="F780" s="457">
        <f>E780/D780*100</f>
        <v>100.440160222043</v>
      </c>
      <c r="G780" s="458">
        <f t="shared" si="56"/>
        <v>-15.4273050000002</v>
      </c>
      <c r="H780" s="457">
        <f>G780/C780*100</f>
        <v>-0.639758244754559</v>
      </c>
      <c r="I780" s="461">
        <f>2514.49+21</f>
        <v>2535.49</v>
      </c>
      <c r="J780" s="459">
        <f t="shared" si="55"/>
        <v>149.990022</v>
      </c>
      <c r="K780" s="460">
        <f>J780/D780*100</f>
        <v>6.28757172011175</v>
      </c>
      <c r="M780">
        <f t="shared" si="54"/>
        <v>2189</v>
      </c>
      <c r="N780" s="415">
        <v>2189</v>
      </c>
      <c r="O780" s="415"/>
    </row>
    <row r="781" customFormat="1" ht="20" hidden="1" customHeight="1" spans="1:17">
      <c r="A781" s="416">
        <v>21202</v>
      </c>
      <c r="B781" s="427" t="s">
        <v>741</v>
      </c>
      <c r="C781" s="461">
        <v>0</v>
      </c>
      <c r="D781" s="461"/>
      <c r="E781" s="461">
        <v>0</v>
      </c>
      <c r="F781" s="457"/>
      <c r="G781" s="458">
        <f t="shared" si="56"/>
        <v>0</v>
      </c>
      <c r="H781" s="457"/>
      <c r="I781" s="461"/>
      <c r="J781" s="459">
        <f t="shared" si="55"/>
        <v>0</v>
      </c>
      <c r="K781" s="460"/>
      <c r="M781">
        <f t="shared" si="54"/>
        <v>0</v>
      </c>
      <c r="N781" s="415"/>
      <c r="O781" s="415"/>
    </row>
    <row r="782" customFormat="1" ht="20" hidden="1" customHeight="1" spans="1:17">
      <c r="A782" s="416">
        <v>21203</v>
      </c>
      <c r="B782" s="427" t="s">
        <v>742</v>
      </c>
      <c r="C782" s="461">
        <v>5666.254888</v>
      </c>
      <c r="D782" s="461">
        <f>SUM(D783:D784)</f>
        <v>226.684969</v>
      </c>
      <c r="E782" s="461">
        <f>E783+E784</f>
        <v>5677</v>
      </c>
      <c r="F782" s="457">
        <f>E782/D782*100</f>
        <v>2504.35660778197</v>
      </c>
      <c r="G782" s="458">
        <f t="shared" si="56"/>
        <v>10.7451119999996</v>
      </c>
      <c r="H782" s="457">
        <f>G782/C782*100</f>
        <v>0.189633403586479</v>
      </c>
      <c r="I782" s="461">
        <f>SUM(I783:I784)</f>
        <v>3532.95</v>
      </c>
      <c r="J782" s="459">
        <f t="shared" si="55"/>
        <v>3306.265031</v>
      </c>
      <c r="K782" s="460">
        <f>J782/D782*100</f>
        <v>1458.52856745874</v>
      </c>
      <c r="M782">
        <f t="shared" si="54"/>
        <v>0</v>
      </c>
      <c r="N782" s="415"/>
      <c r="O782" s="415"/>
    </row>
    <row r="783" customFormat="1" ht="20" hidden="1" customHeight="1" spans="1:17">
      <c r="A783" s="418">
        <v>2120303</v>
      </c>
      <c r="B783" s="239" t="s">
        <v>743</v>
      </c>
      <c r="C783" s="464">
        <v>0</v>
      </c>
      <c r="D783" s="461"/>
      <c r="E783" s="464">
        <v>0</v>
      </c>
      <c r="F783" s="457"/>
      <c r="G783" s="458">
        <f t="shared" si="56"/>
        <v>0</v>
      </c>
      <c r="H783" s="457"/>
      <c r="I783" s="461"/>
      <c r="J783" s="459">
        <f t="shared" si="55"/>
        <v>0</v>
      </c>
      <c r="K783" s="460"/>
      <c r="M783">
        <f t="shared" si="54"/>
        <v>0</v>
      </c>
      <c r="N783" s="415"/>
      <c r="O783" s="415"/>
    </row>
    <row r="784" customFormat="1" ht="20" hidden="1" customHeight="1" spans="1:17">
      <c r="A784" s="418">
        <v>2120399</v>
      </c>
      <c r="B784" s="239" t="s">
        <v>744</v>
      </c>
      <c r="C784" s="464">
        <v>5666.254888</v>
      </c>
      <c r="D784" s="461">
        <v>226.684969</v>
      </c>
      <c r="E784" s="464">
        <v>5677</v>
      </c>
      <c r="F784" s="457">
        <f>E784/D784*100</f>
        <v>2504.35660778197</v>
      </c>
      <c r="G784" s="458">
        <f t="shared" si="56"/>
        <v>10.7451119999996</v>
      </c>
      <c r="H784" s="457">
        <f>G784/C784*100</f>
        <v>0.189633403586479</v>
      </c>
      <c r="I784" s="461">
        <f>1137.95+2395</f>
        <v>3532.95</v>
      </c>
      <c r="J784" s="459">
        <f t="shared" si="55"/>
        <v>3306.265031</v>
      </c>
      <c r="K784" s="460">
        <f>J784/D784*100</f>
        <v>1458.52856745874</v>
      </c>
      <c r="M784">
        <f t="shared" si="54"/>
        <v>80</v>
      </c>
      <c r="N784" s="415">
        <v>80</v>
      </c>
      <c r="O784" s="415"/>
      <c r="Q784">
        <v>2009</v>
      </c>
    </row>
    <row r="785" customFormat="1" ht="20" hidden="1" customHeight="1" spans="1:17">
      <c r="A785" s="437">
        <v>21205</v>
      </c>
      <c r="B785" s="427" t="s">
        <v>745</v>
      </c>
      <c r="C785" s="461">
        <v>2807.170603</v>
      </c>
      <c r="D785" s="461">
        <v>1096.010939</v>
      </c>
      <c r="E785" s="461">
        <v>2520</v>
      </c>
      <c r="F785" s="457">
        <f>E785/D785*100</f>
        <v>229.924712457637</v>
      </c>
      <c r="G785" s="458">
        <f t="shared" si="56"/>
        <v>-287.170603</v>
      </c>
      <c r="H785" s="457">
        <f>G785/C785*100</f>
        <v>-10.2298949231337</v>
      </c>
      <c r="I785" s="461">
        <v>2776.91</v>
      </c>
      <c r="J785" s="459">
        <f t="shared" si="55"/>
        <v>1680.899061</v>
      </c>
      <c r="K785" s="460">
        <f>J785/D785*100</f>
        <v>153.365171932832</v>
      </c>
      <c r="M785">
        <f t="shared" si="54"/>
        <v>787</v>
      </c>
      <c r="N785" s="415">
        <v>787</v>
      </c>
      <c r="O785" s="415"/>
    </row>
    <row r="786" customFormat="1" ht="20" hidden="1" customHeight="1" spans="1:17">
      <c r="A786" s="437">
        <v>21206</v>
      </c>
      <c r="B786" s="427" t="s">
        <v>746</v>
      </c>
      <c r="C786" s="461">
        <v>0</v>
      </c>
      <c r="D786" s="461"/>
      <c r="E786" s="461">
        <v>0</v>
      </c>
      <c r="F786" s="457"/>
      <c r="G786" s="458">
        <f t="shared" si="56"/>
        <v>0</v>
      </c>
      <c r="H786" s="457"/>
      <c r="I786" s="461"/>
      <c r="J786" s="459">
        <f t="shared" si="55"/>
        <v>0</v>
      </c>
      <c r="K786" s="460"/>
      <c r="M786">
        <f t="shared" si="54"/>
        <v>0</v>
      </c>
      <c r="N786" s="415"/>
      <c r="O786" s="415"/>
    </row>
    <row r="787" customFormat="1" ht="20" hidden="1" customHeight="1" spans="1:17">
      <c r="A787" s="437">
        <v>21299</v>
      </c>
      <c r="B787" s="427" t="s">
        <v>747</v>
      </c>
      <c r="C787" s="461">
        <v>1305.106432</v>
      </c>
      <c r="D787" s="466">
        <f>303.698819+56</f>
        <v>359.698819</v>
      </c>
      <c r="E787" s="461">
        <v>667</v>
      </c>
      <c r="F787" s="457">
        <f>E787/D787*100</f>
        <v>185.432913528693</v>
      </c>
      <c r="G787" s="458">
        <f t="shared" si="56"/>
        <v>-638.106432</v>
      </c>
      <c r="H787" s="457">
        <f>G787/C787*100</f>
        <v>-48.893057022341</v>
      </c>
      <c r="I787" s="462">
        <f>413.363714+787-100</f>
        <v>1100.363714</v>
      </c>
      <c r="J787" s="459">
        <f t="shared" si="55"/>
        <v>740.664895</v>
      </c>
      <c r="K787" s="460">
        <f>J787/D787*100</f>
        <v>205.912517883469</v>
      </c>
      <c r="M787">
        <f t="shared" si="54"/>
        <v>341</v>
      </c>
      <c r="N787" s="415">
        <v>341</v>
      </c>
      <c r="O787" s="415"/>
    </row>
    <row r="788" s="278" customFormat="1" ht="20" customHeight="1" spans="1:17">
      <c r="A788" s="412">
        <v>213</v>
      </c>
      <c r="B788" s="413" t="s">
        <v>748</v>
      </c>
      <c r="C788" s="346">
        <f>SUM(C789:C894)/2</f>
        <v>43896.947423</v>
      </c>
      <c r="D788" s="346">
        <f>SUM(D789:D894)/2</f>
        <v>32769.621872</v>
      </c>
      <c r="E788" s="346">
        <f>SUM(E789:E894)/2</f>
        <v>45474</v>
      </c>
      <c r="F788" s="414">
        <f>E788/D788*100</f>
        <v>138.768766321516</v>
      </c>
      <c r="G788" s="346">
        <f t="shared" si="56"/>
        <v>1577.052577</v>
      </c>
      <c r="H788" s="414">
        <f>G788/C788*100</f>
        <v>3.59262470304188</v>
      </c>
      <c r="I788" s="346">
        <f>SUM(I789:I894)/2</f>
        <v>34546.674927</v>
      </c>
      <c r="J788" s="307">
        <f t="shared" si="55"/>
        <v>1777.053055</v>
      </c>
      <c r="K788" s="306">
        <f>J788/D788*100</f>
        <v>5.42286713573097</v>
      </c>
      <c r="M788" s="278">
        <f t="shared" si="54"/>
        <v>0</v>
      </c>
      <c r="N788" s="415"/>
      <c r="O788" s="415"/>
    </row>
    <row r="789" customFormat="1" ht="20" hidden="1" customHeight="1" spans="1:17">
      <c r="A789" s="437">
        <v>21301</v>
      </c>
      <c r="B789" s="427" t="s">
        <v>749</v>
      </c>
      <c r="C789" s="461">
        <f>SUM(C790:C814)</f>
        <v>15091.018842</v>
      </c>
      <c r="D789" s="461">
        <f>SUM(D790:D814)</f>
        <v>9582.691945</v>
      </c>
      <c r="E789" s="461">
        <f>SUM(E790:E814)</f>
        <v>14592</v>
      </c>
      <c r="F789" s="457">
        <f>E789/D789*100</f>
        <v>152.274539176997</v>
      </c>
      <c r="G789" s="458">
        <f t="shared" si="56"/>
        <v>-499.018841999999</v>
      </c>
      <c r="H789" s="457">
        <f>G789/C789*100</f>
        <v>-3.30672731393837</v>
      </c>
      <c r="I789" s="461">
        <f>SUM(I790:I814)</f>
        <v>13624.4687</v>
      </c>
      <c r="J789" s="459">
        <f t="shared" si="55"/>
        <v>4041.776755</v>
      </c>
      <c r="K789" s="460">
        <f>J789/D789*100</f>
        <v>42.1778846507624</v>
      </c>
      <c r="M789">
        <f t="shared" si="54"/>
        <v>0</v>
      </c>
      <c r="N789" s="415"/>
      <c r="O789" s="415"/>
    </row>
    <row r="790" s="278" customFormat="1" ht="20" hidden="1" customHeight="1" spans="1:17">
      <c r="A790" s="438">
        <v>2130101</v>
      </c>
      <c r="B790" s="422" t="s">
        <v>731</v>
      </c>
      <c r="C790" s="464">
        <v>915.482118</v>
      </c>
      <c r="D790" s="461">
        <v>752.091627</v>
      </c>
      <c r="E790" s="464">
        <v>912</v>
      </c>
      <c r="F790" s="457">
        <f>E790/D790*100</f>
        <v>121.261820669092</v>
      </c>
      <c r="G790" s="458">
        <f t="shared" si="56"/>
        <v>-3.48211800000001</v>
      </c>
      <c r="H790" s="457">
        <f>G790/C790*100</f>
        <v>-0.380358931270792</v>
      </c>
      <c r="I790" s="461">
        <v>844.89</v>
      </c>
      <c r="J790" s="459">
        <f t="shared" si="55"/>
        <v>92.798373</v>
      </c>
      <c r="K790" s="460">
        <f>J790/D790*100</f>
        <v>12.3387057731464</v>
      </c>
      <c r="M790" s="278">
        <f t="shared" si="54"/>
        <v>916</v>
      </c>
      <c r="N790" s="415">
        <v>916</v>
      </c>
      <c r="O790" s="415"/>
    </row>
    <row r="791" s="278" customFormat="1" ht="20" hidden="1" customHeight="1" spans="1:17">
      <c r="A791" s="438">
        <v>2130102</v>
      </c>
      <c r="B791" s="422" t="s">
        <v>732</v>
      </c>
      <c r="C791" s="464">
        <v>111.85</v>
      </c>
      <c r="D791" s="466">
        <v>77</v>
      </c>
      <c r="E791" s="464">
        <v>296</v>
      </c>
      <c r="F791" s="457">
        <f>E791/D791*100</f>
        <v>384.415584415584</v>
      </c>
      <c r="G791" s="458">
        <f t="shared" si="56"/>
        <v>184.15</v>
      </c>
      <c r="H791" s="457">
        <f>G791/C791*100</f>
        <v>164.640143048726</v>
      </c>
      <c r="I791" s="466">
        <v>286.16</v>
      </c>
      <c r="J791" s="459">
        <f t="shared" si="55"/>
        <v>209.16</v>
      </c>
      <c r="K791" s="460">
        <f>J791/D791*100</f>
        <v>271.636363636364</v>
      </c>
      <c r="M791" s="278">
        <f t="shared" si="54"/>
        <v>3</v>
      </c>
      <c r="N791" s="415">
        <v>3</v>
      </c>
      <c r="O791" s="415"/>
    </row>
    <row r="792" s="278" customFormat="1" ht="20" hidden="1" customHeight="1" spans="1:17">
      <c r="A792" s="438">
        <v>2130103</v>
      </c>
      <c r="B792" s="422" t="s">
        <v>733</v>
      </c>
      <c r="C792" s="464">
        <v>0</v>
      </c>
      <c r="D792" s="461"/>
      <c r="E792" s="464">
        <v>0</v>
      </c>
      <c r="F792" s="457"/>
      <c r="G792" s="458">
        <f t="shared" si="56"/>
        <v>0</v>
      </c>
      <c r="H792" s="457"/>
      <c r="I792" s="461"/>
      <c r="J792" s="459">
        <f t="shared" si="55"/>
        <v>0</v>
      </c>
      <c r="K792" s="460"/>
      <c r="M792" s="278">
        <f t="shared" si="54"/>
        <v>0</v>
      </c>
      <c r="N792" s="415"/>
      <c r="O792" s="415"/>
    </row>
    <row r="793" s="278" customFormat="1" ht="20" hidden="1" customHeight="1" spans="1:17">
      <c r="A793" s="438">
        <v>2130104</v>
      </c>
      <c r="B793" s="422" t="s">
        <v>750</v>
      </c>
      <c r="C793" s="464">
        <v>2356.110724</v>
      </c>
      <c r="D793" s="461">
        <f>2498.34161</f>
        <v>2498.34161</v>
      </c>
      <c r="E793" s="464">
        <v>2519</v>
      </c>
      <c r="F793" s="457">
        <f>E793/D793*100</f>
        <v>100.826884118541</v>
      </c>
      <c r="G793" s="458">
        <f t="shared" si="56"/>
        <v>162.889276</v>
      </c>
      <c r="H793" s="457">
        <f>G793/C793*100</f>
        <v>6.91348137168446</v>
      </c>
      <c r="I793" s="461">
        <v>2698.16</v>
      </c>
      <c r="J793" s="459">
        <f t="shared" si="55"/>
        <v>199.81839</v>
      </c>
      <c r="K793" s="460">
        <f>J793/D793*100</f>
        <v>7.99804114858416</v>
      </c>
      <c r="M793" s="278">
        <f t="shared" si="54"/>
        <v>2438</v>
      </c>
      <c r="N793" s="415">
        <v>2438</v>
      </c>
      <c r="O793" s="415"/>
    </row>
    <row r="794" s="278" customFormat="1" ht="20" hidden="1" customHeight="1" spans="1:17">
      <c r="A794" s="438">
        <v>2130105</v>
      </c>
      <c r="B794" s="422" t="s">
        <v>751</v>
      </c>
      <c r="C794" s="464">
        <v>0</v>
      </c>
      <c r="D794" s="461"/>
      <c r="E794" s="464">
        <v>0</v>
      </c>
      <c r="F794" s="457"/>
      <c r="G794" s="458">
        <f t="shared" si="56"/>
        <v>0</v>
      </c>
      <c r="H794" s="457"/>
      <c r="I794" s="461"/>
      <c r="J794" s="459">
        <f t="shared" si="55"/>
        <v>0</v>
      </c>
      <c r="K794" s="460"/>
      <c r="M794" s="278">
        <f t="shared" si="54"/>
        <v>0</v>
      </c>
      <c r="N794" s="415"/>
      <c r="O794" s="415"/>
    </row>
    <row r="795" s="278" customFormat="1" ht="20" hidden="1" customHeight="1" spans="1:17">
      <c r="A795" s="438">
        <v>2130106</v>
      </c>
      <c r="B795" s="422" t="s">
        <v>752</v>
      </c>
      <c r="C795" s="464">
        <v>0</v>
      </c>
      <c r="D795" s="461">
        <v>80</v>
      </c>
      <c r="E795" s="464">
        <v>5</v>
      </c>
      <c r="F795" s="457">
        <f>E795/D795*100</f>
        <v>6.25</v>
      </c>
      <c r="G795" s="458">
        <f t="shared" si="56"/>
        <v>5</v>
      </c>
      <c r="H795" s="457"/>
      <c r="I795" s="461"/>
      <c r="J795" s="459">
        <f t="shared" si="55"/>
        <v>-80</v>
      </c>
      <c r="K795" s="460">
        <f>J795/D795*100</f>
        <v>-100</v>
      </c>
      <c r="M795" s="278">
        <f t="shared" si="54"/>
        <v>0</v>
      </c>
      <c r="N795" s="415"/>
      <c r="O795" s="415"/>
    </row>
    <row r="796" s="278" customFormat="1" ht="20" hidden="1" customHeight="1" spans="1:17">
      <c r="A796" s="438">
        <v>2130108</v>
      </c>
      <c r="B796" s="422" t="s">
        <v>753</v>
      </c>
      <c r="C796" s="464">
        <v>36.476</v>
      </c>
      <c r="D796" s="461">
        <v>51</v>
      </c>
      <c r="E796" s="464">
        <v>351</v>
      </c>
      <c r="F796" s="457">
        <f>E796/D796*100</f>
        <v>688.235294117647</v>
      </c>
      <c r="G796" s="458">
        <f t="shared" si="56"/>
        <v>314.524</v>
      </c>
      <c r="H796" s="457">
        <f>G796/C796*100</f>
        <v>862.276565412874</v>
      </c>
      <c r="I796" s="462">
        <f>16.5+28.14+67.1</f>
        <v>111.74</v>
      </c>
      <c r="J796" s="459">
        <f t="shared" si="55"/>
        <v>60.74</v>
      </c>
      <c r="K796" s="460">
        <f>J796/D796*100</f>
        <v>119.098039215686</v>
      </c>
      <c r="M796" s="278">
        <f t="shared" si="54"/>
        <v>1</v>
      </c>
      <c r="N796" s="415">
        <v>1</v>
      </c>
      <c r="O796" s="415"/>
      <c r="P796" s="278">
        <v>121</v>
      </c>
      <c r="Q796" s="278">
        <v>60</v>
      </c>
    </row>
    <row r="797" s="278" customFormat="1" ht="20" hidden="1" customHeight="1" spans="1:17">
      <c r="A797" s="438">
        <v>2130109</v>
      </c>
      <c r="B797" s="422" t="s">
        <v>754</v>
      </c>
      <c r="C797" s="464">
        <v>282.98387</v>
      </c>
      <c r="D797" s="461"/>
      <c r="E797" s="464">
        <v>1</v>
      </c>
      <c r="F797" s="457"/>
      <c r="G797" s="458">
        <f t="shared" si="56"/>
        <v>-281.98387</v>
      </c>
      <c r="H797" s="457">
        <f>G797/C797*100</f>
        <v>-99.6466229682985</v>
      </c>
      <c r="I797" s="461"/>
      <c r="J797" s="459">
        <f t="shared" si="55"/>
        <v>0</v>
      </c>
      <c r="K797" s="460"/>
      <c r="M797" s="278">
        <f t="shared" ref="M797:M860" si="57">N797+O797</f>
        <v>0</v>
      </c>
      <c r="N797" s="415"/>
      <c r="O797" s="415"/>
      <c r="P797" s="278">
        <v>21</v>
      </c>
      <c r="Q797" s="278">
        <v>1</v>
      </c>
    </row>
    <row r="798" s="278" customFormat="1" ht="20" hidden="1" customHeight="1" spans="1:17">
      <c r="A798" s="438">
        <v>2130110</v>
      </c>
      <c r="B798" s="422" t="s">
        <v>755</v>
      </c>
      <c r="C798" s="464">
        <v>0</v>
      </c>
      <c r="D798" s="466">
        <v>1</v>
      </c>
      <c r="E798" s="464">
        <v>0</v>
      </c>
      <c r="F798" s="457">
        <f>E798/D798*100</f>
        <v>0</v>
      </c>
      <c r="G798" s="458">
        <f t="shared" si="56"/>
        <v>0</v>
      </c>
      <c r="H798" s="457"/>
      <c r="I798" s="466"/>
      <c r="J798" s="459">
        <f t="shared" si="55"/>
        <v>-1</v>
      </c>
      <c r="K798" s="460">
        <f>J798/D798*100</f>
        <v>-100</v>
      </c>
      <c r="M798" s="278">
        <f t="shared" si="57"/>
        <v>0</v>
      </c>
      <c r="N798" s="415"/>
      <c r="O798" s="415"/>
    </row>
    <row r="799" s="278" customFormat="1" ht="20" hidden="1" customHeight="1" spans="1:17">
      <c r="A799" s="438">
        <v>2130111</v>
      </c>
      <c r="B799" s="422" t="s">
        <v>756</v>
      </c>
      <c r="C799" s="464">
        <v>2.09979</v>
      </c>
      <c r="D799" s="461"/>
      <c r="E799" s="464"/>
      <c r="F799" s="457"/>
      <c r="G799" s="458">
        <f t="shared" si="56"/>
        <v>-2.09979</v>
      </c>
      <c r="H799" s="457">
        <f>G799/C799*100</f>
        <v>-100</v>
      </c>
      <c r="I799" s="461"/>
      <c r="J799" s="459">
        <f t="shared" si="55"/>
        <v>0</v>
      </c>
      <c r="K799" s="460"/>
      <c r="M799" s="278">
        <f t="shared" si="57"/>
        <v>0</v>
      </c>
      <c r="N799" s="415"/>
      <c r="O799" s="415"/>
      <c r="Q799" s="278">
        <v>2</v>
      </c>
    </row>
    <row r="800" s="278" customFormat="1" ht="20" hidden="1" customHeight="1" spans="1:17">
      <c r="A800" s="438">
        <v>2130112</v>
      </c>
      <c r="B800" s="422" t="s">
        <v>757</v>
      </c>
      <c r="C800" s="464">
        <v>0</v>
      </c>
      <c r="D800" s="461"/>
      <c r="E800" s="464">
        <v>0</v>
      </c>
      <c r="F800" s="457"/>
      <c r="G800" s="458">
        <f t="shared" si="56"/>
        <v>0</v>
      </c>
      <c r="H800" s="457"/>
      <c r="I800" s="461"/>
      <c r="J800" s="459">
        <f t="shared" si="55"/>
        <v>0</v>
      </c>
      <c r="K800" s="460"/>
      <c r="M800" s="278">
        <f t="shared" si="57"/>
        <v>0</v>
      </c>
      <c r="N800" s="415"/>
      <c r="O800" s="415"/>
    </row>
    <row r="801" s="278" customFormat="1" ht="20" hidden="1" customHeight="1" spans="1:17">
      <c r="A801" s="438">
        <v>2130114</v>
      </c>
      <c r="B801" s="422" t="s">
        <v>758</v>
      </c>
      <c r="C801" s="464">
        <v>0</v>
      </c>
      <c r="D801" s="461"/>
      <c r="E801" s="464">
        <v>0</v>
      </c>
      <c r="F801" s="457"/>
      <c r="G801" s="458">
        <f t="shared" si="56"/>
        <v>0</v>
      </c>
      <c r="H801" s="457"/>
      <c r="I801" s="461"/>
      <c r="J801" s="459">
        <f t="shared" si="55"/>
        <v>0</v>
      </c>
      <c r="K801" s="460"/>
      <c r="M801" s="278">
        <f t="shared" si="57"/>
        <v>0</v>
      </c>
      <c r="N801" s="415"/>
      <c r="O801" s="415"/>
      <c r="P801" s="278">
        <v>3</v>
      </c>
    </row>
    <row r="802" s="278" customFormat="1" ht="20" hidden="1" customHeight="1" spans="1:17">
      <c r="A802" s="438">
        <v>2130119</v>
      </c>
      <c r="B802" s="422" t="s">
        <v>759</v>
      </c>
      <c r="C802" s="464">
        <v>0</v>
      </c>
      <c r="D802" s="461">
        <v>81</v>
      </c>
      <c r="E802" s="464">
        <v>95</v>
      </c>
      <c r="F802" s="457">
        <f>E802/D802*100</f>
        <v>117.283950617284</v>
      </c>
      <c r="G802" s="458">
        <f t="shared" si="56"/>
        <v>95</v>
      </c>
      <c r="H802" s="457"/>
      <c r="I802" s="461">
        <v>22.83</v>
      </c>
      <c r="J802" s="459">
        <f t="shared" si="55"/>
        <v>-58.17</v>
      </c>
      <c r="K802" s="460">
        <f>J802/D802*100</f>
        <v>-71.8148148148148</v>
      </c>
      <c r="M802" s="278">
        <f t="shared" si="57"/>
        <v>0</v>
      </c>
      <c r="N802" s="415"/>
      <c r="O802" s="415"/>
      <c r="Q802" s="278">
        <v>35</v>
      </c>
    </row>
    <row r="803" s="278" customFormat="1" ht="20" hidden="1" customHeight="1" spans="1:17">
      <c r="A803" s="438">
        <v>2130120</v>
      </c>
      <c r="B803" s="422" t="s">
        <v>760</v>
      </c>
      <c r="C803" s="464">
        <v>2825.380505</v>
      </c>
      <c r="D803" s="461">
        <v>1643</v>
      </c>
      <c r="E803" s="464">
        <v>2861</v>
      </c>
      <c r="F803" s="457">
        <f>E803/D803*100</f>
        <v>174.132684114425</v>
      </c>
      <c r="G803" s="458">
        <f t="shared" si="56"/>
        <v>35.6194949999999</v>
      </c>
      <c r="H803" s="457">
        <f>G803/C803*100</f>
        <v>1.26069727376419</v>
      </c>
      <c r="I803" s="461">
        <f>12.84+2913</f>
        <v>2925.84</v>
      </c>
      <c r="J803" s="459">
        <f t="shared" si="55"/>
        <v>1282.84</v>
      </c>
      <c r="K803" s="460">
        <f>J803/D803*100</f>
        <v>78.0791235544735</v>
      </c>
      <c r="M803" s="278">
        <f t="shared" si="57"/>
        <v>0</v>
      </c>
      <c r="N803" s="415"/>
      <c r="O803" s="415"/>
    </row>
    <row r="804" s="278" customFormat="1" ht="20" hidden="1" customHeight="1" spans="1:17">
      <c r="A804" s="438">
        <v>2130121</v>
      </c>
      <c r="B804" s="422" t="s">
        <v>761</v>
      </c>
      <c r="C804" s="464">
        <v>24</v>
      </c>
      <c r="D804" s="461"/>
      <c r="E804" s="464"/>
      <c r="F804" s="457"/>
      <c r="G804" s="458">
        <f t="shared" si="56"/>
        <v>-24</v>
      </c>
      <c r="H804" s="457">
        <f>G804/C804*100</f>
        <v>-100</v>
      </c>
      <c r="I804" s="461"/>
      <c r="J804" s="459">
        <f t="shared" si="55"/>
        <v>0</v>
      </c>
      <c r="K804" s="460"/>
      <c r="M804" s="278">
        <f t="shared" si="57"/>
        <v>0</v>
      </c>
      <c r="N804" s="415"/>
      <c r="O804" s="415"/>
    </row>
    <row r="805" s="278" customFormat="1" ht="20" hidden="1" customHeight="1" spans="1:17">
      <c r="A805" s="438">
        <v>2130122</v>
      </c>
      <c r="B805" s="422" t="s">
        <v>762</v>
      </c>
      <c r="C805" s="464">
        <v>3089.76054</v>
      </c>
      <c r="D805" s="461">
        <v>30</v>
      </c>
      <c r="E805" s="464">
        <v>3434</v>
      </c>
      <c r="F805" s="457">
        <f>E805/D805*100</f>
        <v>11446.6666666667</v>
      </c>
      <c r="G805" s="458">
        <f t="shared" si="56"/>
        <v>344.23946</v>
      </c>
      <c r="H805" s="457">
        <f>G805/C805*100</f>
        <v>11.1412989952937</v>
      </c>
      <c r="I805" s="461">
        <f>160+91.33+884.6687+380.18+716.74</f>
        <v>2232.9187</v>
      </c>
      <c r="J805" s="459">
        <f t="shared" si="55"/>
        <v>2202.9187</v>
      </c>
      <c r="K805" s="460">
        <f>J805/D805*100</f>
        <v>7343.06233333333</v>
      </c>
      <c r="M805" s="278">
        <f t="shared" si="57"/>
        <v>0</v>
      </c>
      <c r="N805" s="415"/>
      <c r="O805" s="415"/>
      <c r="P805" s="278">
        <v>72</v>
      </c>
      <c r="Q805" s="278">
        <v>1208</v>
      </c>
    </row>
    <row r="806" s="278" customFormat="1" ht="20" hidden="1" customHeight="1" spans="1:17">
      <c r="A806" s="438">
        <v>2130124</v>
      </c>
      <c r="B806" s="422" t="s">
        <v>763</v>
      </c>
      <c r="C806" s="464">
        <v>218.6</v>
      </c>
      <c r="D806" s="461"/>
      <c r="E806" s="464">
        <v>5</v>
      </c>
      <c r="F806" s="457"/>
      <c r="G806" s="458">
        <f t="shared" si="56"/>
        <v>-213.6</v>
      </c>
      <c r="H806" s="457">
        <f>G806/C806*100</f>
        <v>-97.7127172918573</v>
      </c>
      <c r="I806" s="461"/>
      <c r="J806" s="459">
        <f t="shared" si="55"/>
        <v>0</v>
      </c>
      <c r="K806" s="460"/>
      <c r="M806" s="278">
        <f t="shared" si="57"/>
        <v>0</v>
      </c>
      <c r="N806" s="415"/>
      <c r="O806" s="415"/>
      <c r="P806" s="278">
        <v>300</v>
      </c>
    </row>
    <row r="807" s="278" customFormat="1" ht="20" hidden="1" customHeight="1" spans="1:17">
      <c r="A807" s="438">
        <v>2130125</v>
      </c>
      <c r="B807" s="422" t="s">
        <v>764</v>
      </c>
      <c r="C807" s="464">
        <v>850.06</v>
      </c>
      <c r="D807" s="461"/>
      <c r="E807" s="464"/>
      <c r="F807" s="457"/>
      <c r="G807" s="458">
        <f t="shared" si="56"/>
        <v>-850.06</v>
      </c>
      <c r="H807" s="457">
        <f>G807/C807*100</f>
        <v>-100</v>
      </c>
      <c r="I807" s="461"/>
      <c r="J807" s="459">
        <f t="shared" si="55"/>
        <v>0</v>
      </c>
      <c r="K807" s="460"/>
      <c r="M807" s="278">
        <f t="shared" si="57"/>
        <v>0</v>
      </c>
      <c r="N807" s="415"/>
      <c r="O807" s="415"/>
    </row>
    <row r="808" s="278" customFormat="1" ht="20" hidden="1" customHeight="1" spans="1:17">
      <c r="A808" s="438">
        <v>2130126</v>
      </c>
      <c r="B808" s="422" t="s">
        <v>765</v>
      </c>
      <c r="C808" s="464">
        <v>0</v>
      </c>
      <c r="D808" s="461"/>
      <c r="E808" s="464">
        <v>0</v>
      </c>
      <c r="F808" s="457"/>
      <c r="G808" s="458">
        <f t="shared" si="56"/>
        <v>0</v>
      </c>
      <c r="H808" s="457"/>
      <c r="I808" s="461"/>
      <c r="J808" s="459">
        <f t="shared" si="55"/>
        <v>0</v>
      </c>
      <c r="K808" s="460"/>
      <c r="M808" s="278">
        <f t="shared" si="57"/>
        <v>0</v>
      </c>
      <c r="N808" s="415"/>
      <c r="O808" s="415"/>
    </row>
    <row r="809" s="278" customFormat="1" ht="20" hidden="1" customHeight="1" spans="1:17">
      <c r="A809" s="438">
        <v>2130135</v>
      </c>
      <c r="B809" s="422" t="s">
        <v>766</v>
      </c>
      <c r="C809" s="464">
        <v>0</v>
      </c>
      <c r="D809" s="466">
        <v>8</v>
      </c>
      <c r="E809" s="464">
        <v>0</v>
      </c>
      <c r="F809" s="457">
        <f>E809/D809*100</f>
        <v>0</v>
      </c>
      <c r="G809" s="458">
        <f t="shared" si="56"/>
        <v>0</v>
      </c>
      <c r="H809" s="457"/>
      <c r="I809" s="466"/>
      <c r="J809" s="459">
        <f t="shared" si="55"/>
        <v>-8</v>
      </c>
      <c r="K809" s="460">
        <f>J809/D809*100</f>
        <v>-100</v>
      </c>
      <c r="M809" s="278">
        <f t="shared" si="57"/>
        <v>0</v>
      </c>
      <c r="N809" s="415"/>
      <c r="O809" s="415"/>
    </row>
    <row r="810" s="278" customFormat="1" ht="20" hidden="1" customHeight="1" spans="1:17">
      <c r="A810" s="438">
        <v>2130142</v>
      </c>
      <c r="B810" s="422" t="s">
        <v>767</v>
      </c>
      <c r="C810" s="464">
        <v>0</v>
      </c>
      <c r="D810" s="461"/>
      <c r="E810" s="464">
        <v>3</v>
      </c>
      <c r="F810" s="457"/>
      <c r="G810" s="458">
        <f t="shared" si="56"/>
        <v>3</v>
      </c>
      <c r="H810" s="457"/>
      <c r="I810" s="461"/>
      <c r="J810" s="459">
        <f t="shared" si="55"/>
        <v>0</v>
      </c>
      <c r="K810" s="460"/>
      <c r="M810" s="278">
        <f t="shared" si="57"/>
        <v>0</v>
      </c>
      <c r="N810" s="415"/>
      <c r="O810" s="415"/>
    </row>
    <row r="811" s="278" customFormat="1" ht="20" hidden="1" customHeight="1" spans="1:17">
      <c r="A811" s="438">
        <v>2130148</v>
      </c>
      <c r="B811" s="422" t="s">
        <v>768</v>
      </c>
      <c r="C811" s="464">
        <v>0</v>
      </c>
      <c r="D811" s="461"/>
      <c r="E811" s="464">
        <v>0</v>
      </c>
      <c r="F811" s="457"/>
      <c r="G811" s="458">
        <f t="shared" si="56"/>
        <v>0</v>
      </c>
      <c r="H811" s="457"/>
      <c r="I811" s="461"/>
      <c r="J811" s="459">
        <f t="shared" si="55"/>
        <v>0</v>
      </c>
      <c r="K811" s="460"/>
      <c r="M811" s="278">
        <f t="shared" si="57"/>
        <v>0</v>
      </c>
      <c r="N811" s="415"/>
      <c r="O811" s="415"/>
    </row>
    <row r="812" s="278" customFormat="1" ht="20" hidden="1" customHeight="1" spans="1:17">
      <c r="A812" s="438">
        <v>2130152</v>
      </c>
      <c r="B812" s="422" t="s">
        <v>769</v>
      </c>
      <c r="C812" s="464">
        <v>0</v>
      </c>
      <c r="D812" s="461"/>
      <c r="E812" s="464">
        <v>0</v>
      </c>
      <c r="F812" s="457"/>
      <c r="G812" s="458">
        <f t="shared" si="56"/>
        <v>0</v>
      </c>
      <c r="H812" s="457"/>
      <c r="I812" s="461"/>
      <c r="J812" s="459">
        <f t="shared" si="55"/>
        <v>0</v>
      </c>
      <c r="K812" s="460"/>
      <c r="M812" s="278">
        <f t="shared" si="57"/>
        <v>0</v>
      </c>
      <c r="N812" s="415"/>
      <c r="O812" s="415"/>
    </row>
    <row r="813" s="278" customFormat="1" ht="20" hidden="1" customHeight="1" spans="1:17">
      <c r="A813" s="438">
        <v>2130153</v>
      </c>
      <c r="B813" s="422" t="s">
        <v>770</v>
      </c>
      <c r="C813" s="464">
        <v>2105.431176</v>
      </c>
      <c r="D813" s="461">
        <f>3499+862.258708</f>
        <v>4361.258708</v>
      </c>
      <c r="E813" s="464">
        <v>3485</v>
      </c>
      <c r="F813" s="457">
        <f>E813/D813*100</f>
        <v>79.9081236251211</v>
      </c>
      <c r="G813" s="458">
        <f t="shared" si="56"/>
        <v>1379.568824</v>
      </c>
      <c r="H813" s="457">
        <f>G813/C813*100</f>
        <v>65.52428973817</v>
      </c>
      <c r="I813" s="461">
        <f>1685.14+627+2100</f>
        <v>4412.14</v>
      </c>
      <c r="J813" s="459">
        <f t="shared" si="55"/>
        <v>50.881292</v>
      </c>
      <c r="K813" s="460">
        <f>J813/D813*100</f>
        <v>1.16666530024157</v>
      </c>
      <c r="M813" s="278">
        <f t="shared" si="57"/>
        <v>0</v>
      </c>
      <c r="N813" s="415"/>
      <c r="O813" s="415"/>
      <c r="P813" s="278">
        <v>120</v>
      </c>
      <c r="Q813" s="278">
        <v>1111</v>
      </c>
    </row>
    <row r="814" s="278" customFormat="1" ht="20" hidden="1" customHeight="1" spans="1:17">
      <c r="A814" s="438">
        <v>2130199</v>
      </c>
      <c r="B814" s="422" t="s">
        <v>771</v>
      </c>
      <c r="C814" s="464">
        <v>2272.784119</v>
      </c>
      <c r="D814" s="461"/>
      <c r="E814" s="464">
        <v>625</v>
      </c>
      <c r="F814" s="457"/>
      <c r="G814" s="458">
        <f t="shared" si="56"/>
        <v>-1647.784119</v>
      </c>
      <c r="H814" s="457">
        <f>G814/C814*100</f>
        <v>-72.5006878226959</v>
      </c>
      <c r="I814" s="461">
        <v>89.79</v>
      </c>
      <c r="J814" s="459">
        <f t="shared" si="55"/>
        <v>89.79</v>
      </c>
      <c r="K814" s="460"/>
      <c r="M814" s="278">
        <f t="shared" si="57"/>
        <v>1</v>
      </c>
      <c r="N814" s="415">
        <v>1</v>
      </c>
      <c r="O814" s="415"/>
      <c r="P814" s="278">
        <v>5248</v>
      </c>
      <c r="Q814" s="278">
        <v>1528</v>
      </c>
    </row>
    <row r="815" customFormat="1" ht="20" hidden="1" customHeight="1" spans="1:17">
      <c r="A815" s="437">
        <v>21302</v>
      </c>
      <c r="B815" s="427" t="s">
        <v>772</v>
      </c>
      <c r="C815" s="461">
        <f>SUM(C816:C836)</f>
        <v>3057.038856</v>
      </c>
      <c r="D815" s="461">
        <f>SUM(D816:D836)</f>
        <v>3854.959974</v>
      </c>
      <c r="E815" s="461">
        <f>SUM(E816:E836)</f>
        <v>3152</v>
      </c>
      <c r="F815" s="457">
        <f>E815/D815*100</f>
        <v>81.7647918852296</v>
      </c>
      <c r="G815" s="458">
        <f t="shared" si="56"/>
        <v>94.9611439999999</v>
      </c>
      <c r="H815" s="457">
        <f>G815/C815*100</f>
        <v>3.10631131866777</v>
      </c>
      <c r="I815" s="461">
        <f>SUM(I816:I836)</f>
        <v>2550.427942</v>
      </c>
      <c r="J815" s="459">
        <f t="shared" si="55"/>
        <v>-1304.532032</v>
      </c>
      <c r="K815" s="460">
        <f>J815/D815*100</f>
        <v>-33.8403521903857</v>
      </c>
      <c r="M815">
        <f t="shared" si="57"/>
        <v>0</v>
      </c>
      <c r="N815" s="415"/>
      <c r="O815" s="415"/>
    </row>
    <row r="816" s="278" customFormat="1" ht="20" hidden="1" customHeight="1" spans="1:17">
      <c r="A816" s="438">
        <v>2130201</v>
      </c>
      <c r="B816" s="422" t="s">
        <v>731</v>
      </c>
      <c r="C816" s="464">
        <v>258.374124</v>
      </c>
      <c r="D816" s="461">
        <v>238.986607</v>
      </c>
      <c r="E816" s="464">
        <v>224</v>
      </c>
      <c r="F816" s="457">
        <f>E816/D816*100</f>
        <v>93.7291017316297</v>
      </c>
      <c r="G816" s="458">
        <f t="shared" si="56"/>
        <v>-34.374124</v>
      </c>
      <c r="H816" s="457">
        <f>G816/C816*100</f>
        <v>-13.3040118212457</v>
      </c>
      <c r="I816" s="461">
        <v>214.45</v>
      </c>
      <c r="J816" s="459">
        <f t="shared" si="55"/>
        <v>-24.536607</v>
      </c>
      <c r="K816" s="460">
        <f>J816/D816*100</f>
        <v>-10.2669380966608</v>
      </c>
      <c r="M816" s="278">
        <f t="shared" si="57"/>
        <v>240</v>
      </c>
      <c r="N816" s="415">
        <v>240</v>
      </c>
      <c r="O816" s="415"/>
    </row>
    <row r="817" s="278" customFormat="1" ht="20" hidden="1" customHeight="1" spans="1:17">
      <c r="A817" s="438">
        <v>2130202</v>
      </c>
      <c r="B817" s="422" t="s">
        <v>732</v>
      </c>
      <c r="C817" s="464">
        <v>75.221026</v>
      </c>
      <c r="D817" s="466">
        <v>21.427398</v>
      </c>
      <c r="E817" s="464">
        <v>293</v>
      </c>
      <c r="F817" s="457">
        <f>E817/D817*100</f>
        <v>1367.40821260706</v>
      </c>
      <c r="G817" s="458">
        <f t="shared" si="56"/>
        <v>217.778974</v>
      </c>
      <c r="H817" s="457">
        <f>G817/C817*100</f>
        <v>289.518749717665</v>
      </c>
      <c r="I817" s="462">
        <v>75.937942</v>
      </c>
      <c r="J817" s="459">
        <f t="shared" si="55"/>
        <v>54.510544</v>
      </c>
      <c r="K817" s="460">
        <f>J817/D817*100</f>
        <v>254.396469417332</v>
      </c>
      <c r="M817" s="278">
        <f t="shared" si="57"/>
        <v>39</v>
      </c>
      <c r="N817" s="415">
        <v>39</v>
      </c>
      <c r="O817" s="415"/>
    </row>
    <row r="818" s="278" customFormat="1" ht="20" hidden="1" customHeight="1" spans="1:17">
      <c r="A818" s="438">
        <v>2130203</v>
      </c>
      <c r="B818" s="422" t="s">
        <v>733</v>
      </c>
      <c r="C818" s="464">
        <v>0</v>
      </c>
      <c r="D818" s="461"/>
      <c r="E818" s="464">
        <v>0</v>
      </c>
      <c r="F818" s="457"/>
      <c r="G818" s="458">
        <f t="shared" si="56"/>
        <v>0</v>
      </c>
      <c r="H818" s="457"/>
      <c r="I818" s="461"/>
      <c r="J818" s="459">
        <f t="shared" si="55"/>
        <v>0</v>
      </c>
      <c r="K818" s="460"/>
      <c r="M818" s="278">
        <f t="shared" si="57"/>
        <v>0</v>
      </c>
      <c r="N818" s="415"/>
      <c r="O818" s="415"/>
    </row>
    <row r="819" s="278" customFormat="1" ht="20" hidden="1" customHeight="1" spans="1:17">
      <c r="A819" s="438">
        <v>2130204</v>
      </c>
      <c r="B819" s="422" t="s">
        <v>773</v>
      </c>
      <c r="C819" s="464">
        <v>734.4467</v>
      </c>
      <c r="D819" s="461">
        <v>485.096941</v>
      </c>
      <c r="E819" s="464">
        <v>641</v>
      </c>
      <c r="F819" s="457">
        <f>E819/D819*100</f>
        <v>132.138536820829</v>
      </c>
      <c r="G819" s="458">
        <f t="shared" si="56"/>
        <v>-93.4467</v>
      </c>
      <c r="H819" s="457">
        <f>G819/C819*100</f>
        <v>-12.7234147828563</v>
      </c>
      <c r="I819" s="461">
        <v>611.87</v>
      </c>
      <c r="J819" s="459">
        <f t="shared" si="55"/>
        <v>126.773059</v>
      </c>
      <c r="K819" s="460">
        <f>J819/D819*100</f>
        <v>26.1335515203754</v>
      </c>
      <c r="M819" s="278">
        <f t="shared" si="57"/>
        <v>817</v>
      </c>
      <c r="N819" s="415">
        <v>817</v>
      </c>
      <c r="O819" s="415"/>
    </row>
    <row r="820" s="278" customFormat="1" ht="20" hidden="1" customHeight="1" spans="1:17">
      <c r="A820" s="438">
        <v>2130205</v>
      </c>
      <c r="B820" s="422" t="s">
        <v>774</v>
      </c>
      <c r="C820" s="464">
        <v>1555.273672</v>
      </c>
      <c r="D820" s="461">
        <f>762.82+634.939028</f>
        <v>1397.759028</v>
      </c>
      <c r="E820" s="464">
        <v>1424</v>
      </c>
      <c r="F820" s="457">
        <f>E820/D820*100</f>
        <v>101.877360222638</v>
      </c>
      <c r="G820" s="458">
        <f t="shared" si="56"/>
        <v>-131.273672</v>
      </c>
      <c r="H820" s="457">
        <f>G820/C820*100</f>
        <v>-8.44055129096277</v>
      </c>
      <c r="I820" s="461"/>
      <c r="J820" s="459">
        <f t="shared" si="55"/>
        <v>-1397.759028</v>
      </c>
      <c r="K820" s="460">
        <f>J820/D820*100</f>
        <v>-100</v>
      </c>
      <c r="M820" s="278">
        <f t="shared" si="57"/>
        <v>0</v>
      </c>
      <c r="N820" s="415"/>
      <c r="O820" s="415"/>
      <c r="P820" s="278">
        <v>783</v>
      </c>
      <c r="Q820" s="278">
        <v>77</v>
      </c>
    </row>
    <row r="821" s="278" customFormat="1" ht="20" hidden="1" customHeight="1" spans="1:17">
      <c r="A821" s="438">
        <v>2130206</v>
      </c>
      <c r="B821" s="422" t="s">
        <v>775</v>
      </c>
      <c r="C821" s="464">
        <v>0</v>
      </c>
      <c r="D821" s="461">
        <v>3.91</v>
      </c>
      <c r="E821" s="464">
        <v>0</v>
      </c>
      <c r="F821" s="457">
        <f>E821/D821*100</f>
        <v>0</v>
      </c>
      <c r="G821" s="458">
        <f t="shared" si="56"/>
        <v>0</v>
      </c>
      <c r="H821" s="457"/>
      <c r="I821" s="461"/>
      <c r="J821" s="459">
        <f t="shared" si="55"/>
        <v>-3.91</v>
      </c>
      <c r="K821" s="460">
        <f>J821/D821*100</f>
        <v>-100</v>
      </c>
      <c r="M821" s="278">
        <f t="shared" si="57"/>
        <v>0</v>
      </c>
      <c r="N821" s="415"/>
      <c r="O821" s="415"/>
    </row>
    <row r="822" s="278" customFormat="1" ht="20" hidden="1" customHeight="1" spans="1:17">
      <c r="A822" s="438">
        <v>2130207</v>
      </c>
      <c r="B822" s="422" t="s">
        <v>776</v>
      </c>
      <c r="C822" s="464">
        <v>0</v>
      </c>
      <c r="D822" s="461"/>
      <c r="E822" s="464">
        <v>0</v>
      </c>
      <c r="F822" s="457"/>
      <c r="G822" s="458">
        <f t="shared" si="56"/>
        <v>0</v>
      </c>
      <c r="H822" s="457"/>
      <c r="I822" s="461"/>
      <c r="J822" s="459">
        <f t="shared" si="55"/>
        <v>0</v>
      </c>
      <c r="K822" s="460"/>
      <c r="M822" s="278">
        <f t="shared" si="57"/>
        <v>0</v>
      </c>
      <c r="N822" s="415"/>
      <c r="O822" s="415"/>
    </row>
    <row r="823" s="278" customFormat="1" ht="20" hidden="1" customHeight="1" spans="1:17">
      <c r="A823" s="438">
        <v>2130209</v>
      </c>
      <c r="B823" s="422" t="s">
        <v>777</v>
      </c>
      <c r="C823" s="464">
        <v>127.58596</v>
      </c>
      <c r="D823" s="461">
        <v>223.98</v>
      </c>
      <c r="E823" s="464">
        <v>215</v>
      </c>
      <c r="F823" s="457">
        <f>E823/D823*100</f>
        <v>95.9907134565586</v>
      </c>
      <c r="G823" s="458">
        <f t="shared" si="56"/>
        <v>87.41404</v>
      </c>
      <c r="H823" s="457">
        <f>G823/C823*100</f>
        <v>68.5138396105653</v>
      </c>
      <c r="I823" s="461">
        <f>19.11+212.41</f>
        <v>231.52</v>
      </c>
      <c r="J823" s="459">
        <f t="shared" si="55"/>
        <v>7.54000000000002</v>
      </c>
      <c r="K823" s="460">
        <f>J823/D823*100</f>
        <v>3.36637199749979</v>
      </c>
      <c r="M823" s="278">
        <f t="shared" si="57"/>
        <v>0</v>
      </c>
      <c r="N823" s="415"/>
      <c r="O823" s="415"/>
      <c r="P823" s="278">
        <v>224</v>
      </c>
      <c r="Q823" s="278">
        <v>982</v>
      </c>
    </row>
    <row r="824" s="278" customFormat="1" ht="20" hidden="1" customHeight="1" spans="1:17">
      <c r="A824" s="438">
        <v>2130211</v>
      </c>
      <c r="B824" s="422" t="s">
        <v>778</v>
      </c>
      <c r="C824" s="464">
        <v>0</v>
      </c>
      <c r="D824" s="461"/>
      <c r="E824" s="464">
        <v>0</v>
      </c>
      <c r="F824" s="457"/>
      <c r="G824" s="458">
        <f t="shared" si="56"/>
        <v>0</v>
      </c>
      <c r="H824" s="457"/>
      <c r="I824" s="461"/>
      <c r="J824" s="459">
        <f t="shared" si="55"/>
        <v>0</v>
      </c>
      <c r="K824" s="460"/>
      <c r="M824" s="278">
        <f t="shared" si="57"/>
        <v>0</v>
      </c>
      <c r="N824" s="415"/>
      <c r="O824" s="415"/>
    </row>
    <row r="825" s="278" customFormat="1" ht="20" hidden="1" customHeight="1" spans="1:17">
      <c r="A825" s="438">
        <v>2130212</v>
      </c>
      <c r="B825" s="422" t="s">
        <v>779</v>
      </c>
      <c r="C825" s="464">
        <v>0</v>
      </c>
      <c r="D825" s="461"/>
      <c r="E825" s="464">
        <v>0</v>
      </c>
      <c r="F825" s="457"/>
      <c r="G825" s="458">
        <f t="shared" si="56"/>
        <v>0</v>
      </c>
      <c r="H825" s="457"/>
      <c r="I825" s="461"/>
      <c r="J825" s="459">
        <f t="shared" si="55"/>
        <v>0</v>
      </c>
      <c r="K825" s="460"/>
      <c r="M825" s="278">
        <f t="shared" si="57"/>
        <v>0</v>
      </c>
      <c r="N825" s="415"/>
      <c r="O825" s="415"/>
    </row>
    <row r="826" s="278" customFormat="1" ht="20" hidden="1" customHeight="1" spans="1:17">
      <c r="A826" s="438">
        <v>2130213</v>
      </c>
      <c r="B826" s="422" t="s">
        <v>780</v>
      </c>
      <c r="C826" s="464">
        <v>0</v>
      </c>
      <c r="D826" s="461"/>
      <c r="E826" s="464">
        <v>0</v>
      </c>
      <c r="F826" s="457"/>
      <c r="G826" s="458">
        <f t="shared" si="56"/>
        <v>0</v>
      </c>
      <c r="H826" s="457"/>
      <c r="I826" s="461"/>
      <c r="J826" s="459">
        <f t="shared" si="55"/>
        <v>0</v>
      </c>
      <c r="K826" s="460"/>
      <c r="M826" s="278">
        <f t="shared" si="57"/>
        <v>0</v>
      </c>
      <c r="N826" s="415"/>
      <c r="O826" s="415"/>
    </row>
    <row r="827" s="278" customFormat="1" ht="20" hidden="1" customHeight="1" spans="1:17">
      <c r="A827" s="438">
        <v>2130217</v>
      </c>
      <c r="B827" s="422" t="s">
        <v>781</v>
      </c>
      <c r="C827" s="464">
        <v>0</v>
      </c>
      <c r="D827" s="461"/>
      <c r="E827" s="464">
        <v>0</v>
      </c>
      <c r="F827" s="457"/>
      <c r="G827" s="458">
        <f t="shared" si="56"/>
        <v>0</v>
      </c>
      <c r="H827" s="457"/>
      <c r="I827" s="461"/>
      <c r="J827" s="459">
        <f t="shared" si="55"/>
        <v>0</v>
      </c>
      <c r="K827" s="460"/>
      <c r="M827" s="278">
        <f t="shared" si="57"/>
        <v>0</v>
      </c>
      <c r="N827" s="415"/>
      <c r="O827" s="415"/>
    </row>
    <row r="828" s="278" customFormat="1" ht="20" hidden="1" customHeight="1" spans="1:17">
      <c r="A828" s="438">
        <v>2130220</v>
      </c>
      <c r="B828" s="422" t="s">
        <v>782</v>
      </c>
      <c r="C828" s="464">
        <v>0</v>
      </c>
      <c r="D828" s="461"/>
      <c r="E828" s="464">
        <v>0</v>
      </c>
      <c r="F828" s="457"/>
      <c r="G828" s="458">
        <f t="shared" si="56"/>
        <v>0</v>
      </c>
      <c r="H828" s="457"/>
      <c r="I828" s="461"/>
      <c r="J828" s="459">
        <f t="shared" si="55"/>
        <v>0</v>
      </c>
      <c r="K828" s="460"/>
      <c r="M828" s="278">
        <f t="shared" si="57"/>
        <v>0</v>
      </c>
      <c r="N828" s="415"/>
      <c r="O828" s="415"/>
    </row>
    <row r="829" s="278" customFormat="1" ht="20" hidden="1" customHeight="1" spans="1:17">
      <c r="A829" s="438">
        <v>2130221</v>
      </c>
      <c r="B829" s="422" t="s">
        <v>783</v>
      </c>
      <c r="C829" s="464">
        <v>0</v>
      </c>
      <c r="D829" s="461"/>
      <c r="E829" s="464">
        <v>0</v>
      </c>
      <c r="F829" s="457"/>
      <c r="G829" s="458">
        <f t="shared" si="56"/>
        <v>0</v>
      </c>
      <c r="H829" s="457"/>
      <c r="I829" s="461"/>
      <c r="J829" s="459">
        <f t="shared" si="55"/>
        <v>0</v>
      </c>
      <c r="K829" s="460"/>
      <c r="M829" s="278">
        <f t="shared" si="57"/>
        <v>0</v>
      </c>
      <c r="N829" s="415"/>
      <c r="O829" s="415"/>
    </row>
    <row r="830" s="278" customFormat="1" ht="20" hidden="1" customHeight="1" spans="1:17">
      <c r="A830" s="438">
        <v>2130223</v>
      </c>
      <c r="B830" s="422" t="s">
        <v>784</v>
      </c>
      <c r="C830" s="464">
        <v>0</v>
      </c>
      <c r="D830" s="461"/>
      <c r="E830" s="464">
        <v>0</v>
      </c>
      <c r="F830" s="457"/>
      <c r="G830" s="458">
        <f t="shared" si="56"/>
        <v>0</v>
      </c>
      <c r="H830" s="457"/>
      <c r="I830" s="461"/>
      <c r="J830" s="459">
        <f t="shared" si="55"/>
        <v>0</v>
      </c>
      <c r="K830" s="460"/>
      <c r="M830" s="278">
        <f t="shared" si="57"/>
        <v>0</v>
      </c>
      <c r="N830" s="415"/>
      <c r="O830" s="415"/>
    </row>
    <row r="831" s="278" customFormat="1" ht="20" hidden="1" customHeight="1" spans="1:17">
      <c r="A831" s="438">
        <v>2130226</v>
      </c>
      <c r="B831" s="422" t="s">
        <v>785</v>
      </c>
      <c r="C831" s="464">
        <v>0</v>
      </c>
      <c r="D831" s="461"/>
      <c r="E831" s="464">
        <v>0</v>
      </c>
      <c r="F831" s="457"/>
      <c r="G831" s="458">
        <f t="shared" si="56"/>
        <v>0</v>
      </c>
      <c r="H831" s="457"/>
      <c r="I831" s="461"/>
      <c r="J831" s="459">
        <f t="shared" si="55"/>
        <v>0</v>
      </c>
      <c r="K831" s="460"/>
      <c r="M831" s="278">
        <f t="shared" si="57"/>
        <v>0</v>
      </c>
      <c r="N831" s="415"/>
      <c r="O831" s="415"/>
    </row>
    <row r="832" s="278" customFormat="1" ht="20" hidden="1" customHeight="1" spans="1:17">
      <c r="A832" s="438">
        <v>2130227</v>
      </c>
      <c r="B832" s="422" t="s">
        <v>786</v>
      </c>
      <c r="C832" s="464">
        <v>0</v>
      </c>
      <c r="D832" s="461"/>
      <c r="E832" s="464">
        <v>0</v>
      </c>
      <c r="F832" s="457"/>
      <c r="G832" s="458">
        <f t="shared" si="56"/>
        <v>0</v>
      </c>
      <c r="H832" s="457"/>
      <c r="I832" s="461"/>
      <c r="J832" s="459">
        <f t="shared" si="55"/>
        <v>0</v>
      </c>
      <c r="K832" s="460"/>
      <c r="M832" s="278">
        <f t="shared" si="57"/>
        <v>0</v>
      </c>
      <c r="N832" s="415"/>
      <c r="O832" s="415"/>
    </row>
    <row r="833" s="278" customFormat="1" ht="20" hidden="1" customHeight="1" spans="1:17">
      <c r="A833" s="438">
        <v>2130234</v>
      </c>
      <c r="B833" s="422" t="s">
        <v>787</v>
      </c>
      <c r="C833" s="464">
        <v>0</v>
      </c>
      <c r="D833" s="461"/>
      <c r="E833" s="464">
        <v>0</v>
      </c>
      <c r="F833" s="457"/>
      <c r="G833" s="458">
        <f t="shared" si="56"/>
        <v>0</v>
      </c>
      <c r="H833" s="457"/>
      <c r="I833" s="461"/>
      <c r="J833" s="459">
        <f t="shared" si="55"/>
        <v>0</v>
      </c>
      <c r="K833" s="460"/>
      <c r="M833" s="278">
        <f t="shared" si="57"/>
        <v>0</v>
      </c>
      <c r="N833" s="415"/>
      <c r="O833" s="415"/>
    </row>
    <row r="834" s="278" customFormat="1" ht="20" hidden="1" customHeight="1" spans="1:17">
      <c r="A834" s="438">
        <v>2130236</v>
      </c>
      <c r="B834" s="422" t="s">
        <v>788</v>
      </c>
      <c r="C834" s="464">
        <v>0</v>
      </c>
      <c r="D834" s="461"/>
      <c r="E834" s="464">
        <v>0</v>
      </c>
      <c r="F834" s="457"/>
      <c r="G834" s="458">
        <f t="shared" si="56"/>
        <v>0</v>
      </c>
      <c r="H834" s="457"/>
      <c r="I834" s="461"/>
      <c r="J834" s="459">
        <f t="shared" si="55"/>
        <v>0</v>
      </c>
      <c r="K834" s="460"/>
      <c r="M834" s="278">
        <f t="shared" si="57"/>
        <v>0</v>
      </c>
      <c r="N834" s="415"/>
      <c r="O834" s="415"/>
    </row>
    <row r="835" s="278" customFormat="1" ht="20" hidden="1" customHeight="1" spans="1:17">
      <c r="A835" s="438">
        <v>2130237</v>
      </c>
      <c r="B835" s="422" t="s">
        <v>757</v>
      </c>
      <c r="C835" s="464">
        <v>0</v>
      </c>
      <c r="D835" s="461"/>
      <c r="E835" s="464">
        <v>0</v>
      </c>
      <c r="F835" s="457"/>
      <c r="G835" s="458">
        <f t="shared" si="56"/>
        <v>0</v>
      </c>
      <c r="H835" s="457"/>
      <c r="I835" s="461"/>
      <c r="J835" s="459">
        <f t="shared" si="55"/>
        <v>0</v>
      </c>
      <c r="K835" s="460"/>
      <c r="M835" s="278">
        <f t="shared" si="57"/>
        <v>0</v>
      </c>
      <c r="N835" s="415"/>
      <c r="O835" s="415"/>
    </row>
    <row r="836" s="278" customFormat="1" ht="20" hidden="1" customHeight="1" spans="1:17">
      <c r="A836" s="438">
        <v>2130299</v>
      </c>
      <c r="B836" s="422" t="s">
        <v>789</v>
      </c>
      <c r="C836" s="464">
        <v>306.137374</v>
      </c>
      <c r="D836" s="466">
        <f>8+1475.8</f>
        <v>1483.8</v>
      </c>
      <c r="E836" s="464">
        <v>355</v>
      </c>
      <c r="F836" s="457">
        <f>E836/D836*100</f>
        <v>23.9250572853484</v>
      </c>
      <c r="G836" s="458">
        <f t="shared" si="56"/>
        <v>48.862626</v>
      </c>
      <c r="H836" s="457">
        <f>G836/C836*100</f>
        <v>15.9610129797481</v>
      </c>
      <c r="I836" s="462">
        <f>8+1408.65</f>
        <v>1416.65</v>
      </c>
      <c r="J836" s="459">
        <f t="shared" si="55"/>
        <v>-67.1499999999999</v>
      </c>
      <c r="K836" s="460">
        <f>J836/D836*100</f>
        <v>-4.52554252594688</v>
      </c>
      <c r="M836" s="278">
        <f t="shared" si="57"/>
        <v>2</v>
      </c>
      <c r="N836" s="415">
        <v>2</v>
      </c>
      <c r="O836" s="415"/>
      <c r="P836" s="278">
        <v>480</v>
      </c>
      <c r="Q836" s="278">
        <v>2845</v>
      </c>
    </row>
    <row r="837" customFormat="1" ht="20" hidden="1" customHeight="1" spans="1:17">
      <c r="A837" s="437">
        <v>21303</v>
      </c>
      <c r="B837" s="427" t="s">
        <v>790</v>
      </c>
      <c r="C837" s="461">
        <f>SUM(C838:C864)</f>
        <v>3931.762996</v>
      </c>
      <c r="D837" s="461">
        <f>SUM(D838:D864)</f>
        <v>2992.763852</v>
      </c>
      <c r="E837" s="461">
        <f>SUM(E838:E864)</f>
        <v>3458</v>
      </c>
      <c r="F837" s="457">
        <f>E837/D837*100</f>
        <v>115.545367794024</v>
      </c>
      <c r="G837" s="458">
        <f t="shared" si="56"/>
        <v>-473.762996</v>
      </c>
      <c r="H837" s="457">
        <f>G837/C837*100</f>
        <v>-12.0496326071023</v>
      </c>
      <c r="I837" s="461">
        <f>SUM(I838:I864)</f>
        <v>2963.118285</v>
      </c>
      <c r="J837" s="459">
        <f t="shared" si="55"/>
        <v>-29.645567</v>
      </c>
      <c r="K837" s="460">
        <f>J837/D837*100</f>
        <v>-0.990574882150776</v>
      </c>
      <c r="M837">
        <f t="shared" si="57"/>
        <v>0</v>
      </c>
      <c r="N837" s="415"/>
      <c r="O837" s="415"/>
    </row>
    <row r="838" s="278" customFormat="1" ht="20" hidden="1" customHeight="1" spans="1:17">
      <c r="A838" s="438">
        <v>2130301</v>
      </c>
      <c r="B838" s="422" t="s">
        <v>731</v>
      </c>
      <c r="C838" s="464">
        <v>447.890431</v>
      </c>
      <c r="D838" s="461">
        <v>451.19153</v>
      </c>
      <c r="E838" s="464">
        <v>455</v>
      </c>
      <c r="F838" s="457">
        <f>E838/D838*100</f>
        <v>100.844091643298</v>
      </c>
      <c r="G838" s="458">
        <f t="shared" si="56"/>
        <v>7.10956900000002</v>
      </c>
      <c r="H838" s="457">
        <f>G838/C838*100</f>
        <v>1.58734558899295</v>
      </c>
      <c r="I838" s="461">
        <v>347.56</v>
      </c>
      <c r="J838" s="459">
        <f t="shared" si="55"/>
        <v>-103.63153</v>
      </c>
      <c r="K838" s="460">
        <f>J838/D838*100</f>
        <v>-22.968412106495</v>
      </c>
      <c r="M838" s="278">
        <f t="shared" si="57"/>
        <v>449</v>
      </c>
      <c r="N838" s="415">
        <v>449</v>
      </c>
      <c r="O838" s="415"/>
    </row>
    <row r="839" s="278" customFormat="1" ht="20" hidden="1" customHeight="1" spans="1:17">
      <c r="A839" s="438">
        <v>2130302</v>
      </c>
      <c r="B839" s="422" t="s">
        <v>732</v>
      </c>
      <c r="C839" s="464">
        <v>4.25311</v>
      </c>
      <c r="D839" s="466">
        <v>3.886914</v>
      </c>
      <c r="E839" s="464">
        <v>11</v>
      </c>
      <c r="F839" s="457">
        <f>E839/D839*100</f>
        <v>283.00085877897</v>
      </c>
      <c r="G839" s="458">
        <f t="shared" si="56"/>
        <v>6.74689</v>
      </c>
      <c r="H839" s="457">
        <f>G839/C839*100</f>
        <v>158.634269981261</v>
      </c>
      <c r="I839" s="466"/>
      <c r="J839" s="459">
        <f t="shared" ref="J839:J902" si="58">I839-D839</f>
        <v>-3.886914</v>
      </c>
      <c r="K839" s="460">
        <f>J839/D839*100</f>
        <v>-100</v>
      </c>
      <c r="M839" s="278">
        <f t="shared" si="57"/>
        <v>0</v>
      </c>
      <c r="N839" s="415"/>
      <c r="O839" s="415"/>
    </row>
    <row r="840" s="278" customFormat="1" ht="20" hidden="1" customHeight="1" spans="1:17">
      <c r="A840" s="438">
        <v>2130303</v>
      </c>
      <c r="B840" s="422" t="s">
        <v>733</v>
      </c>
      <c r="C840" s="464">
        <v>0</v>
      </c>
      <c r="D840" s="461"/>
      <c r="E840" s="464">
        <v>0</v>
      </c>
      <c r="F840" s="457"/>
      <c r="G840" s="458">
        <f t="shared" ref="G840:G903" si="59">E840-C840</f>
        <v>0</v>
      </c>
      <c r="H840" s="457"/>
      <c r="I840" s="461"/>
      <c r="J840" s="459">
        <f t="shared" si="58"/>
        <v>0</v>
      </c>
      <c r="K840" s="460"/>
      <c r="M840" s="278">
        <f t="shared" si="57"/>
        <v>0</v>
      </c>
      <c r="N840" s="415"/>
      <c r="O840" s="415"/>
    </row>
    <row r="841" s="278" customFormat="1" ht="20" hidden="1" customHeight="1" spans="1:17">
      <c r="A841" s="438">
        <v>2130304</v>
      </c>
      <c r="B841" s="422" t="s">
        <v>791</v>
      </c>
      <c r="C841" s="464">
        <v>0</v>
      </c>
      <c r="D841" s="461"/>
      <c r="E841" s="464">
        <v>0</v>
      </c>
      <c r="F841" s="457"/>
      <c r="G841" s="458">
        <f t="shared" si="59"/>
        <v>0</v>
      </c>
      <c r="H841" s="457"/>
      <c r="I841" s="461"/>
      <c r="J841" s="459">
        <f t="shared" si="58"/>
        <v>0</v>
      </c>
      <c r="K841" s="460"/>
      <c r="M841" s="278">
        <f t="shared" si="57"/>
        <v>0</v>
      </c>
      <c r="N841" s="415"/>
      <c r="O841" s="415"/>
    </row>
    <row r="842" s="278" customFormat="1" ht="20" hidden="1" customHeight="1" spans="1:17">
      <c r="A842" s="438">
        <v>2130305</v>
      </c>
      <c r="B842" s="422" t="s">
        <v>792</v>
      </c>
      <c r="C842" s="464">
        <v>2156.027821</v>
      </c>
      <c r="D842" s="461"/>
      <c r="E842" s="464">
        <v>762</v>
      </c>
      <c r="F842" s="457"/>
      <c r="G842" s="458">
        <f t="shared" si="59"/>
        <v>-1394.027821</v>
      </c>
      <c r="H842" s="457">
        <f>G842/C842*100</f>
        <v>-64.6572278623672</v>
      </c>
      <c r="I842" s="461">
        <v>637</v>
      </c>
      <c r="J842" s="459">
        <f t="shared" si="58"/>
        <v>637</v>
      </c>
      <c r="K842" s="460"/>
      <c r="M842" s="278">
        <f t="shared" si="57"/>
        <v>0</v>
      </c>
      <c r="N842" s="415"/>
      <c r="O842" s="415"/>
      <c r="P842" s="278">
        <v>655</v>
      </c>
      <c r="Q842" s="278">
        <v>50</v>
      </c>
    </row>
    <row r="843" s="278" customFormat="1" ht="20" hidden="1" customHeight="1" spans="1:17">
      <c r="A843" s="438">
        <v>2130306</v>
      </c>
      <c r="B843" s="422" t="s">
        <v>793</v>
      </c>
      <c r="C843" s="464">
        <v>624.385076</v>
      </c>
      <c r="D843" s="461">
        <v>651.485408</v>
      </c>
      <c r="E843" s="464">
        <v>668</v>
      </c>
      <c r="F843" s="457">
        <f>E843/D843*100</f>
        <v>102.534913567857</v>
      </c>
      <c r="G843" s="458">
        <f t="shared" si="59"/>
        <v>43.614924</v>
      </c>
      <c r="H843" s="457">
        <f>G843/C843*100</f>
        <v>6.98526048691144</v>
      </c>
      <c r="I843" s="461">
        <v>691.42</v>
      </c>
      <c r="J843" s="459">
        <f t="shared" si="58"/>
        <v>39.934592</v>
      </c>
      <c r="K843" s="460">
        <f>J843/D843*100</f>
        <v>6.12977535791561</v>
      </c>
      <c r="M843" s="278">
        <f t="shared" si="57"/>
        <v>604</v>
      </c>
      <c r="N843" s="415">
        <v>604</v>
      </c>
      <c r="O843" s="415"/>
    </row>
    <row r="844" s="278" customFormat="1" ht="20" hidden="1" customHeight="1" spans="1:17">
      <c r="A844" s="438">
        <v>2130307</v>
      </c>
      <c r="B844" s="422" t="s">
        <v>794</v>
      </c>
      <c r="C844" s="464">
        <v>0</v>
      </c>
      <c r="D844" s="461"/>
      <c r="E844" s="464">
        <v>0</v>
      </c>
      <c r="F844" s="457"/>
      <c r="G844" s="458">
        <f t="shared" si="59"/>
        <v>0</v>
      </c>
      <c r="H844" s="457"/>
      <c r="I844" s="461"/>
      <c r="J844" s="459">
        <f t="shared" si="58"/>
        <v>0</v>
      </c>
      <c r="K844" s="460"/>
      <c r="M844" s="278">
        <f t="shared" si="57"/>
        <v>0</v>
      </c>
      <c r="N844" s="415"/>
      <c r="O844" s="415"/>
    </row>
    <row r="845" s="278" customFormat="1" ht="20" hidden="1" customHeight="1" spans="1:17">
      <c r="A845" s="438">
        <v>2130308</v>
      </c>
      <c r="B845" s="422" t="s">
        <v>795</v>
      </c>
      <c r="C845" s="464">
        <v>0</v>
      </c>
      <c r="D845" s="461"/>
      <c r="E845" s="464">
        <v>0</v>
      </c>
      <c r="F845" s="457"/>
      <c r="G845" s="458">
        <f t="shared" si="59"/>
        <v>0</v>
      </c>
      <c r="H845" s="457"/>
      <c r="I845" s="461"/>
      <c r="J845" s="459">
        <f t="shared" si="58"/>
        <v>0</v>
      </c>
      <c r="K845" s="460"/>
      <c r="M845" s="278">
        <f t="shared" si="57"/>
        <v>0</v>
      </c>
      <c r="N845" s="415"/>
      <c r="O845" s="415"/>
    </row>
    <row r="846" s="278" customFormat="1" ht="20" hidden="1" customHeight="1" spans="1:17">
      <c r="A846" s="438">
        <v>2130309</v>
      </c>
      <c r="B846" s="422" t="s">
        <v>796</v>
      </c>
      <c r="C846" s="464">
        <v>0</v>
      </c>
      <c r="D846" s="461"/>
      <c r="E846" s="464">
        <v>0</v>
      </c>
      <c r="F846" s="457"/>
      <c r="G846" s="458">
        <f t="shared" si="59"/>
        <v>0</v>
      </c>
      <c r="H846" s="457"/>
      <c r="I846" s="461"/>
      <c r="J846" s="459">
        <f t="shared" si="58"/>
        <v>0</v>
      </c>
      <c r="K846" s="460"/>
      <c r="M846" s="278">
        <f t="shared" si="57"/>
        <v>0</v>
      </c>
      <c r="N846" s="415"/>
      <c r="O846" s="415"/>
    </row>
    <row r="847" s="278" customFormat="1" ht="20" hidden="1" customHeight="1" spans="1:17">
      <c r="A847" s="438">
        <v>2130310</v>
      </c>
      <c r="B847" s="422" t="s">
        <v>797</v>
      </c>
      <c r="C847" s="464">
        <v>0</v>
      </c>
      <c r="D847" s="461"/>
      <c r="E847" s="464">
        <v>230</v>
      </c>
      <c r="F847" s="457"/>
      <c r="G847" s="458">
        <f t="shared" si="59"/>
        <v>230</v>
      </c>
      <c r="H847" s="457"/>
      <c r="I847" s="462">
        <f>79.103285+169</f>
        <v>248.103285</v>
      </c>
      <c r="J847" s="459">
        <f t="shared" si="58"/>
        <v>248.103285</v>
      </c>
      <c r="K847" s="460"/>
      <c r="M847" s="278">
        <f t="shared" si="57"/>
        <v>0</v>
      </c>
      <c r="N847" s="415"/>
      <c r="O847" s="415"/>
    </row>
    <row r="848" s="278" customFormat="1" ht="20" hidden="1" customHeight="1" spans="1:17">
      <c r="A848" s="438">
        <v>2130311</v>
      </c>
      <c r="B848" s="422" t="s">
        <v>798</v>
      </c>
      <c r="C848" s="464">
        <v>0</v>
      </c>
      <c r="D848" s="461"/>
      <c r="E848" s="464">
        <v>0</v>
      </c>
      <c r="F848" s="457"/>
      <c r="G848" s="458">
        <f t="shared" si="59"/>
        <v>0</v>
      </c>
      <c r="H848" s="457"/>
      <c r="I848" s="461"/>
      <c r="J848" s="459">
        <f t="shared" si="58"/>
        <v>0</v>
      </c>
      <c r="K848" s="460"/>
      <c r="M848" s="278">
        <f t="shared" si="57"/>
        <v>0</v>
      </c>
      <c r="N848" s="415"/>
      <c r="O848" s="415"/>
    </row>
    <row r="849" s="278" customFormat="1" ht="20" hidden="1" customHeight="1" spans="1:17">
      <c r="A849" s="438">
        <v>2130312</v>
      </c>
      <c r="B849" s="422" t="s">
        <v>799</v>
      </c>
      <c r="C849" s="464">
        <v>0</v>
      </c>
      <c r="D849" s="461"/>
      <c r="E849" s="464">
        <v>0</v>
      </c>
      <c r="F849" s="457"/>
      <c r="G849" s="458">
        <f t="shared" si="59"/>
        <v>0</v>
      </c>
      <c r="H849" s="457"/>
      <c r="I849" s="461"/>
      <c r="J849" s="459">
        <f t="shared" si="58"/>
        <v>0</v>
      </c>
      <c r="K849" s="460"/>
      <c r="M849" s="278">
        <f t="shared" si="57"/>
        <v>0</v>
      </c>
      <c r="N849" s="415"/>
      <c r="O849" s="415"/>
    </row>
    <row r="850" s="278" customFormat="1" ht="20" hidden="1" customHeight="1" spans="1:17">
      <c r="A850" s="438">
        <v>2130313</v>
      </c>
      <c r="B850" s="422" t="s">
        <v>800</v>
      </c>
      <c r="C850" s="464">
        <v>0</v>
      </c>
      <c r="D850" s="461"/>
      <c r="E850" s="464">
        <v>0</v>
      </c>
      <c r="F850" s="457"/>
      <c r="G850" s="458">
        <f t="shared" si="59"/>
        <v>0</v>
      </c>
      <c r="H850" s="457"/>
      <c r="I850" s="461"/>
      <c r="J850" s="459">
        <f t="shared" si="58"/>
        <v>0</v>
      </c>
      <c r="K850" s="460"/>
      <c r="M850" s="278">
        <f t="shared" si="57"/>
        <v>0</v>
      </c>
      <c r="N850" s="415"/>
      <c r="O850" s="415"/>
    </row>
    <row r="851" s="278" customFormat="1" ht="20" hidden="1" customHeight="1" spans="1:17">
      <c r="A851" s="438">
        <v>2130314</v>
      </c>
      <c r="B851" s="422" t="s">
        <v>801</v>
      </c>
      <c r="C851" s="464">
        <v>117.176558</v>
      </c>
      <c r="D851" s="466">
        <f>1+80</f>
        <v>81</v>
      </c>
      <c r="E851" s="464">
        <v>176</v>
      </c>
      <c r="F851" s="457">
        <f>E851/D851*100</f>
        <v>217.283950617284</v>
      </c>
      <c r="G851" s="458">
        <f t="shared" si="59"/>
        <v>58.823442</v>
      </c>
      <c r="H851" s="457">
        <f>G851/C851*100</f>
        <v>50.2006911655487</v>
      </c>
      <c r="I851" s="462">
        <f>89.505+4.33</f>
        <v>93.835</v>
      </c>
      <c r="J851" s="459">
        <f t="shared" si="58"/>
        <v>12.835</v>
      </c>
      <c r="K851" s="460">
        <f>J851/D851*100</f>
        <v>15.8456790123457</v>
      </c>
      <c r="M851" s="278">
        <f t="shared" si="57"/>
        <v>1</v>
      </c>
      <c r="N851" s="415">
        <v>1</v>
      </c>
      <c r="O851" s="415"/>
      <c r="Q851" s="278">
        <v>15</v>
      </c>
    </row>
    <row r="852" s="278" customFormat="1" ht="20" hidden="1" customHeight="1" spans="1:17">
      <c r="A852" s="438">
        <v>2130315</v>
      </c>
      <c r="B852" s="422" t="s">
        <v>802</v>
      </c>
      <c r="C852" s="464">
        <v>31</v>
      </c>
      <c r="D852" s="461"/>
      <c r="E852" s="464">
        <v>1</v>
      </c>
      <c r="F852" s="457"/>
      <c r="G852" s="458">
        <f t="shared" si="59"/>
        <v>-30</v>
      </c>
      <c r="H852" s="457">
        <f>G852/C852*100</f>
        <v>-96.7741935483871</v>
      </c>
      <c r="I852" s="461"/>
      <c r="J852" s="459">
        <f t="shared" si="58"/>
        <v>0</v>
      </c>
      <c r="K852" s="460"/>
      <c r="M852" s="278">
        <f t="shared" si="57"/>
        <v>0</v>
      </c>
      <c r="N852" s="415"/>
      <c r="O852" s="415"/>
      <c r="Q852" s="278">
        <v>100</v>
      </c>
    </row>
    <row r="853" s="278" customFormat="1" ht="20" hidden="1" customHeight="1" spans="1:17">
      <c r="A853" s="438">
        <v>2130316</v>
      </c>
      <c r="B853" s="422" t="s">
        <v>803</v>
      </c>
      <c r="C853" s="464">
        <v>6</v>
      </c>
      <c r="D853" s="461">
        <v>55</v>
      </c>
      <c r="E853" s="464"/>
      <c r="F853" s="457">
        <f>E853/D853*100</f>
        <v>0</v>
      </c>
      <c r="G853" s="458">
        <f t="shared" si="59"/>
        <v>-6</v>
      </c>
      <c r="H853" s="457">
        <f>G853/C853*100</f>
        <v>-100</v>
      </c>
      <c r="I853" s="461"/>
      <c r="J853" s="459">
        <f t="shared" si="58"/>
        <v>-55</v>
      </c>
      <c r="K853" s="460">
        <f>J853/D853*100</f>
        <v>-100</v>
      </c>
      <c r="M853" s="278">
        <f t="shared" si="57"/>
        <v>0</v>
      </c>
      <c r="N853" s="415"/>
      <c r="O853" s="415"/>
    </row>
    <row r="854" s="278" customFormat="1" ht="20" hidden="1" customHeight="1" spans="1:17">
      <c r="A854" s="438">
        <v>2130317</v>
      </c>
      <c r="B854" s="422" t="s">
        <v>804</v>
      </c>
      <c r="C854" s="464">
        <v>0</v>
      </c>
      <c r="D854" s="461"/>
      <c r="E854" s="464">
        <v>0</v>
      </c>
      <c r="F854" s="457"/>
      <c r="G854" s="458">
        <f t="shared" si="59"/>
        <v>0</v>
      </c>
      <c r="H854" s="457"/>
      <c r="I854" s="461"/>
      <c r="J854" s="459">
        <f t="shared" si="58"/>
        <v>0</v>
      </c>
      <c r="K854" s="460"/>
      <c r="M854" s="278">
        <f t="shared" si="57"/>
        <v>0</v>
      </c>
      <c r="N854" s="415"/>
      <c r="O854" s="415"/>
    </row>
    <row r="855" s="278" customFormat="1" ht="20" hidden="1" customHeight="1" spans="1:17">
      <c r="A855" s="438">
        <v>2130318</v>
      </c>
      <c r="B855" s="422" t="s">
        <v>805</v>
      </c>
      <c r="C855" s="464">
        <v>0</v>
      </c>
      <c r="D855" s="461"/>
      <c r="E855" s="464">
        <v>0</v>
      </c>
      <c r="F855" s="457"/>
      <c r="G855" s="458">
        <f t="shared" si="59"/>
        <v>0</v>
      </c>
      <c r="H855" s="457"/>
      <c r="I855" s="461"/>
      <c r="J855" s="459">
        <f t="shared" si="58"/>
        <v>0</v>
      </c>
      <c r="K855" s="460"/>
      <c r="M855" s="278">
        <f t="shared" si="57"/>
        <v>0</v>
      </c>
      <c r="N855" s="415"/>
      <c r="O855" s="415"/>
    </row>
    <row r="856" s="278" customFormat="1" ht="20" hidden="1" customHeight="1" spans="1:17">
      <c r="A856" s="438">
        <v>2130319</v>
      </c>
      <c r="B856" s="422" t="s">
        <v>806</v>
      </c>
      <c r="C856" s="464">
        <v>0</v>
      </c>
      <c r="D856" s="466">
        <v>2</v>
      </c>
      <c r="E856" s="464">
        <v>60</v>
      </c>
      <c r="F856" s="457">
        <f>E856/D856*100</f>
        <v>3000</v>
      </c>
      <c r="G856" s="458">
        <f t="shared" si="59"/>
        <v>60</v>
      </c>
      <c r="H856" s="457"/>
      <c r="I856" s="466"/>
      <c r="J856" s="459">
        <f t="shared" si="58"/>
        <v>-2</v>
      </c>
      <c r="K856" s="460">
        <f>J856/D856*100</f>
        <v>-100</v>
      </c>
      <c r="M856" s="278">
        <f t="shared" si="57"/>
        <v>2</v>
      </c>
      <c r="N856" s="415">
        <v>2</v>
      </c>
      <c r="O856" s="415"/>
    </row>
    <row r="857" s="278" customFormat="1" ht="20" hidden="1" customHeight="1" spans="1:17">
      <c r="A857" s="438">
        <v>2130321</v>
      </c>
      <c r="B857" s="422" t="s">
        <v>807</v>
      </c>
      <c r="C857" s="464">
        <v>80.23</v>
      </c>
      <c r="D857" s="461">
        <f>53+470+440</f>
        <v>963</v>
      </c>
      <c r="E857" s="464">
        <v>256</v>
      </c>
      <c r="F857" s="457">
        <f>E857/D857*100</f>
        <v>26.5835929387331</v>
      </c>
      <c r="G857" s="458">
        <f t="shared" si="59"/>
        <v>175.77</v>
      </c>
      <c r="H857" s="457">
        <f>G857/C857*100</f>
        <v>219.082637417425</v>
      </c>
      <c r="I857" s="461"/>
      <c r="J857" s="459">
        <f t="shared" si="58"/>
        <v>-963</v>
      </c>
      <c r="K857" s="460">
        <f>J857/D857*100</f>
        <v>-100</v>
      </c>
      <c r="M857" s="278">
        <f t="shared" si="57"/>
        <v>0</v>
      </c>
      <c r="N857" s="415"/>
      <c r="O857" s="415"/>
      <c r="P857" s="278">
        <v>470</v>
      </c>
    </row>
    <row r="858" s="278" customFormat="1" ht="20" hidden="1" customHeight="1" spans="1:17">
      <c r="A858" s="438">
        <v>2130322</v>
      </c>
      <c r="B858" s="422" t="s">
        <v>808</v>
      </c>
      <c r="C858" s="464">
        <v>0</v>
      </c>
      <c r="D858" s="461"/>
      <c r="E858" s="464">
        <v>0</v>
      </c>
      <c r="F858" s="457"/>
      <c r="G858" s="458">
        <f t="shared" si="59"/>
        <v>0</v>
      </c>
      <c r="H858" s="457"/>
      <c r="I858" s="461"/>
      <c r="J858" s="459">
        <f t="shared" si="58"/>
        <v>0</v>
      </c>
      <c r="K858" s="460"/>
      <c r="M858" s="278">
        <f t="shared" si="57"/>
        <v>0</v>
      </c>
      <c r="N858" s="415"/>
      <c r="O858" s="415"/>
    </row>
    <row r="859" s="278" customFormat="1" ht="20" hidden="1" customHeight="1" spans="1:17">
      <c r="A859" s="438">
        <v>2130333</v>
      </c>
      <c r="B859" s="422" t="s">
        <v>784</v>
      </c>
      <c r="C859" s="464">
        <v>0</v>
      </c>
      <c r="D859" s="461"/>
      <c r="E859" s="464">
        <v>0</v>
      </c>
      <c r="F859" s="457"/>
      <c r="G859" s="458">
        <f t="shared" si="59"/>
        <v>0</v>
      </c>
      <c r="H859" s="457"/>
      <c r="I859" s="461"/>
      <c r="J859" s="459">
        <f t="shared" si="58"/>
        <v>0</v>
      </c>
      <c r="K859" s="460"/>
      <c r="M859" s="278">
        <f t="shared" si="57"/>
        <v>0</v>
      </c>
      <c r="N859" s="415"/>
      <c r="O859" s="415"/>
    </row>
    <row r="860" s="278" customFormat="1" ht="20" hidden="1" customHeight="1" spans="1:17">
      <c r="A860" s="438">
        <v>2130334</v>
      </c>
      <c r="B860" s="422" t="s">
        <v>809</v>
      </c>
      <c r="C860" s="464">
        <v>0</v>
      </c>
      <c r="D860" s="461"/>
      <c r="E860" s="464">
        <v>0</v>
      </c>
      <c r="F860" s="457"/>
      <c r="G860" s="458">
        <f t="shared" si="59"/>
        <v>0</v>
      </c>
      <c r="H860" s="457"/>
      <c r="I860" s="461">
        <v>61</v>
      </c>
      <c r="J860" s="459">
        <f t="shared" si="58"/>
        <v>61</v>
      </c>
      <c r="K860" s="460"/>
      <c r="M860" s="278">
        <f t="shared" si="57"/>
        <v>0</v>
      </c>
      <c r="N860" s="415"/>
      <c r="O860" s="415"/>
    </row>
    <row r="861" s="278" customFormat="1" ht="20" hidden="1" customHeight="1" spans="1:17">
      <c r="A861" s="438">
        <v>2130335</v>
      </c>
      <c r="B861" s="422" t="s">
        <v>810</v>
      </c>
      <c r="C861" s="464">
        <v>0</v>
      </c>
      <c r="D861" s="461"/>
      <c r="E861" s="464">
        <v>0</v>
      </c>
      <c r="F861" s="457"/>
      <c r="G861" s="458">
        <f t="shared" si="59"/>
        <v>0</v>
      </c>
      <c r="H861" s="457"/>
      <c r="I861" s="461"/>
      <c r="J861" s="459">
        <f t="shared" si="58"/>
        <v>0</v>
      </c>
      <c r="K861" s="460"/>
      <c r="M861" s="278">
        <f t="shared" ref="M861:M924" si="60">N861+O861</f>
        <v>0</v>
      </c>
      <c r="N861" s="415"/>
      <c r="O861" s="415"/>
    </row>
    <row r="862" s="278" customFormat="1" ht="20" hidden="1" customHeight="1" spans="1:17">
      <c r="A862" s="438">
        <v>2130336</v>
      </c>
      <c r="B862" s="239" t="s">
        <v>811</v>
      </c>
      <c r="C862" s="464">
        <v>0</v>
      </c>
      <c r="D862" s="461"/>
      <c r="E862" s="464">
        <v>0</v>
      </c>
      <c r="F862" s="457"/>
      <c r="G862" s="458">
        <f t="shared" si="59"/>
        <v>0</v>
      </c>
      <c r="H862" s="457"/>
      <c r="I862" s="461"/>
      <c r="J862" s="459">
        <f t="shared" si="58"/>
        <v>0</v>
      </c>
      <c r="K862" s="460"/>
      <c r="M862" s="278">
        <f t="shared" si="60"/>
        <v>0</v>
      </c>
      <c r="N862" s="415"/>
      <c r="O862" s="415"/>
    </row>
    <row r="863" s="278" customFormat="1" ht="20" hidden="1" customHeight="1" spans="1:17">
      <c r="A863" s="438">
        <v>2130337</v>
      </c>
      <c r="B863" s="239" t="s">
        <v>812</v>
      </c>
      <c r="C863" s="464">
        <v>0</v>
      </c>
      <c r="D863" s="461"/>
      <c r="E863" s="464">
        <v>0</v>
      </c>
      <c r="F863" s="457"/>
      <c r="G863" s="458">
        <f t="shared" si="59"/>
        <v>0</v>
      </c>
      <c r="H863" s="457"/>
      <c r="I863" s="461"/>
      <c r="J863" s="459">
        <f t="shared" si="58"/>
        <v>0</v>
      </c>
      <c r="K863" s="460"/>
      <c r="M863" s="278">
        <f t="shared" si="60"/>
        <v>0</v>
      </c>
      <c r="N863" s="415"/>
      <c r="O863" s="415"/>
    </row>
    <row r="864" s="278" customFormat="1" ht="20" hidden="1" customHeight="1" spans="1:17">
      <c r="A864" s="438">
        <v>2130399</v>
      </c>
      <c r="B864" s="422" t="s">
        <v>813</v>
      </c>
      <c r="C864" s="464">
        <v>464.8</v>
      </c>
      <c r="D864" s="461">
        <f>600+185.2</f>
        <v>785.2</v>
      </c>
      <c r="E864" s="464">
        <v>839</v>
      </c>
      <c r="F864" s="457">
        <f>E864/D864*100</f>
        <v>106.851757514009</v>
      </c>
      <c r="G864" s="458">
        <f t="shared" si="59"/>
        <v>374.2</v>
      </c>
      <c r="H864" s="457">
        <f>G864/C864*100</f>
        <v>80.5077452667814</v>
      </c>
      <c r="I864" s="461">
        <f>194.2+57+535+98</f>
        <v>884.2</v>
      </c>
      <c r="J864" s="459">
        <f t="shared" si="58"/>
        <v>99</v>
      </c>
      <c r="K864" s="460">
        <f>J864/D864*100</f>
        <v>12.6082526744778</v>
      </c>
      <c r="M864" s="278">
        <f t="shared" si="60"/>
        <v>0</v>
      </c>
      <c r="N864" s="415"/>
      <c r="O864" s="415"/>
      <c r="Q864" s="278">
        <v>858</v>
      </c>
    </row>
    <row r="865" customFormat="1" ht="20" hidden="1" customHeight="1" spans="1:16">
      <c r="A865" s="437">
        <v>21305</v>
      </c>
      <c r="B865" s="427" t="s">
        <v>814</v>
      </c>
      <c r="C865" s="461">
        <f>SUM(C866:C875)</f>
        <v>15802.66036</v>
      </c>
      <c r="D865" s="461">
        <f>SUM(D866:D875)</f>
        <v>9908.1</v>
      </c>
      <c r="E865" s="461">
        <f>SUM(E866:E875)</f>
        <v>12375</v>
      </c>
      <c r="F865" s="457">
        <f>E865/D865*100</f>
        <v>124.897810882006</v>
      </c>
      <c r="G865" s="458">
        <f t="shared" si="59"/>
        <v>-3427.66036</v>
      </c>
      <c r="H865" s="457">
        <f>G865/C865*100</f>
        <v>-21.6904007421191</v>
      </c>
      <c r="I865" s="461">
        <f>SUM(I866:I875)</f>
        <v>6629.94</v>
      </c>
      <c r="J865" s="459">
        <f t="shared" si="58"/>
        <v>-3278.16</v>
      </c>
      <c r="K865" s="460">
        <f>J865/D865*100</f>
        <v>-33.0856571895722</v>
      </c>
      <c r="M865">
        <f t="shared" si="60"/>
        <v>0</v>
      </c>
      <c r="N865" s="415"/>
      <c r="O865" s="415"/>
    </row>
    <row r="866" s="278" customFormat="1" ht="20" hidden="1" customHeight="1" spans="1:16">
      <c r="A866" s="438">
        <v>2130501</v>
      </c>
      <c r="B866" s="422" t="s">
        <v>731</v>
      </c>
      <c r="C866" s="464">
        <v>123.221109</v>
      </c>
      <c r="D866" s="461"/>
      <c r="E866" s="464"/>
      <c r="F866" s="457"/>
      <c r="G866" s="458">
        <f t="shared" si="59"/>
        <v>-123.221109</v>
      </c>
      <c r="H866" s="457">
        <f>G866/C866*100</f>
        <v>-100</v>
      </c>
      <c r="I866" s="461"/>
      <c r="J866" s="459">
        <f t="shared" si="58"/>
        <v>0</v>
      </c>
      <c r="K866" s="460"/>
      <c r="M866" s="278">
        <f t="shared" si="60"/>
        <v>148</v>
      </c>
      <c r="N866" s="415">
        <v>148</v>
      </c>
      <c r="O866" s="415"/>
    </row>
    <row r="867" s="278" customFormat="1" ht="20" hidden="1" customHeight="1" spans="1:16">
      <c r="A867" s="438">
        <v>2130502</v>
      </c>
      <c r="B867" s="422" t="s">
        <v>732</v>
      </c>
      <c r="C867" s="464">
        <v>210.9165</v>
      </c>
      <c r="D867" s="461"/>
      <c r="E867" s="464"/>
      <c r="F867" s="457"/>
      <c r="G867" s="458">
        <f t="shared" si="59"/>
        <v>-210.9165</v>
      </c>
      <c r="H867" s="457">
        <f>G867/C867*100</f>
        <v>-100</v>
      </c>
      <c r="I867" s="461"/>
      <c r="J867" s="459">
        <f t="shared" si="58"/>
        <v>0</v>
      </c>
      <c r="K867" s="460"/>
      <c r="M867" s="278">
        <f t="shared" si="60"/>
        <v>123</v>
      </c>
      <c r="N867" s="415">
        <v>123</v>
      </c>
      <c r="O867" s="415"/>
    </row>
    <row r="868" s="278" customFormat="1" ht="20" hidden="1" customHeight="1" spans="1:16">
      <c r="A868" s="438">
        <v>2130503</v>
      </c>
      <c r="B868" s="422" t="s">
        <v>733</v>
      </c>
      <c r="C868" s="464">
        <v>0</v>
      </c>
      <c r="D868" s="461"/>
      <c r="E868" s="464">
        <v>0</v>
      </c>
      <c r="F868" s="457"/>
      <c r="G868" s="458">
        <f t="shared" si="59"/>
        <v>0</v>
      </c>
      <c r="H868" s="457"/>
      <c r="I868" s="461"/>
      <c r="J868" s="459">
        <f t="shared" si="58"/>
        <v>0</v>
      </c>
      <c r="K868" s="460"/>
      <c r="M868" s="278">
        <f t="shared" si="60"/>
        <v>0</v>
      </c>
      <c r="N868" s="415"/>
      <c r="O868" s="415"/>
    </row>
    <row r="869" s="278" customFormat="1" ht="20" hidden="1" customHeight="1" spans="1:16">
      <c r="A869" s="438">
        <v>2130504</v>
      </c>
      <c r="B869" s="422" t="s">
        <v>815</v>
      </c>
      <c r="C869" s="464">
        <v>5372.792337</v>
      </c>
      <c r="D869" s="461">
        <v>851</v>
      </c>
      <c r="E869" s="464">
        <v>6311</v>
      </c>
      <c r="F869" s="457">
        <f>E869/D869*100</f>
        <v>741.598119858989</v>
      </c>
      <c r="G869" s="458">
        <f t="shared" si="59"/>
        <v>938.207663</v>
      </c>
      <c r="H869" s="457">
        <f>G869/C869*100</f>
        <v>17.4621985022385</v>
      </c>
      <c r="I869" s="461">
        <f>551.24+2126</f>
        <v>2677.24</v>
      </c>
      <c r="J869" s="459">
        <f t="shared" si="58"/>
        <v>1826.24</v>
      </c>
      <c r="K869" s="460">
        <f>J869/D869*100</f>
        <v>214.599294947121</v>
      </c>
      <c r="M869" s="278">
        <f t="shared" si="60"/>
        <v>0</v>
      </c>
      <c r="N869" s="415"/>
      <c r="O869" s="415"/>
      <c r="P869" s="278">
        <v>4661</v>
      </c>
    </row>
    <row r="870" s="278" customFormat="1" ht="20" hidden="1" customHeight="1" spans="1:16">
      <c r="A870" s="438">
        <v>2130505</v>
      </c>
      <c r="B870" s="422" t="s">
        <v>816</v>
      </c>
      <c r="C870" s="464">
        <v>2523.636654</v>
      </c>
      <c r="D870" s="461"/>
      <c r="E870" s="464">
        <v>1650</v>
      </c>
      <c r="F870" s="457"/>
      <c r="G870" s="458">
        <f t="shared" si="59"/>
        <v>-873.636654</v>
      </c>
      <c r="H870" s="457">
        <f>G870/C870*100</f>
        <v>-34.6181631422762</v>
      </c>
      <c r="I870" s="461">
        <v>800</v>
      </c>
      <c r="J870" s="459">
        <f t="shared" si="58"/>
        <v>800</v>
      </c>
      <c r="K870" s="460"/>
      <c r="M870" s="278">
        <f t="shared" si="60"/>
        <v>0</v>
      </c>
      <c r="N870" s="415"/>
      <c r="O870" s="415"/>
      <c r="P870" s="278">
        <v>1726</v>
      </c>
    </row>
    <row r="871" s="278" customFormat="1" ht="20" hidden="1" customHeight="1" spans="1:16">
      <c r="A871" s="438">
        <v>2130506</v>
      </c>
      <c r="B871" s="422" t="s">
        <v>817</v>
      </c>
      <c r="C871" s="464">
        <v>131.882</v>
      </c>
      <c r="D871" s="461"/>
      <c r="E871" s="464">
        <v>160</v>
      </c>
      <c r="F871" s="457"/>
      <c r="G871" s="458">
        <f t="shared" si="59"/>
        <v>28.118</v>
      </c>
      <c r="H871" s="457">
        <f>G871/C871*100</f>
        <v>21.32057445292</v>
      </c>
      <c r="I871" s="461">
        <v>140</v>
      </c>
      <c r="J871" s="459">
        <f t="shared" si="58"/>
        <v>140</v>
      </c>
      <c r="K871" s="460"/>
      <c r="M871" s="278">
        <f t="shared" si="60"/>
        <v>0</v>
      </c>
      <c r="N871" s="415"/>
      <c r="O871" s="415"/>
      <c r="P871" s="278">
        <v>150</v>
      </c>
    </row>
    <row r="872" s="278" customFormat="1" ht="20" hidden="1" customHeight="1" spans="1:16">
      <c r="A872" s="438">
        <v>2130507</v>
      </c>
      <c r="B872" s="422" t="s">
        <v>818</v>
      </c>
      <c r="C872" s="464">
        <v>317.031139</v>
      </c>
      <c r="D872" s="461"/>
      <c r="E872" s="464">
        <v>230</v>
      </c>
      <c r="F872" s="457"/>
      <c r="G872" s="458">
        <f t="shared" si="59"/>
        <v>-87.031139</v>
      </c>
      <c r="H872" s="457">
        <f>G872/C872*100</f>
        <v>-27.4519213710424</v>
      </c>
      <c r="I872" s="461">
        <v>120</v>
      </c>
      <c r="J872" s="459">
        <f t="shared" si="58"/>
        <v>120</v>
      </c>
      <c r="K872" s="460"/>
      <c r="M872" s="278">
        <f t="shared" si="60"/>
        <v>0</v>
      </c>
      <c r="N872" s="415"/>
      <c r="O872" s="415"/>
      <c r="P872" s="278">
        <v>180</v>
      </c>
    </row>
    <row r="873" s="278" customFormat="1" ht="20" hidden="1" customHeight="1" spans="1:16">
      <c r="A873" s="438">
        <v>2130508</v>
      </c>
      <c r="B873" s="422" t="s">
        <v>819</v>
      </c>
      <c r="C873" s="464">
        <v>0</v>
      </c>
      <c r="D873" s="461"/>
      <c r="E873" s="464">
        <v>0</v>
      </c>
      <c r="F873" s="457"/>
      <c r="G873" s="458">
        <f t="shared" si="59"/>
        <v>0</v>
      </c>
      <c r="H873" s="457"/>
      <c r="I873" s="461"/>
      <c r="J873" s="459">
        <f t="shared" si="58"/>
        <v>0</v>
      </c>
      <c r="K873" s="460"/>
      <c r="M873" s="278">
        <f t="shared" si="60"/>
        <v>0</v>
      </c>
      <c r="N873" s="415"/>
      <c r="O873" s="415"/>
    </row>
    <row r="874" s="278" customFormat="1" ht="20" hidden="1" customHeight="1" spans="1:16">
      <c r="A874" s="438">
        <v>2130550</v>
      </c>
      <c r="B874" s="422" t="s">
        <v>750</v>
      </c>
      <c r="C874" s="464">
        <v>0</v>
      </c>
      <c r="D874" s="461"/>
      <c r="E874" s="464">
        <v>0</v>
      </c>
      <c r="F874" s="457"/>
      <c r="G874" s="458">
        <f t="shared" si="59"/>
        <v>0</v>
      </c>
      <c r="H874" s="457"/>
      <c r="I874" s="461"/>
      <c r="J874" s="459">
        <f t="shared" si="58"/>
        <v>0</v>
      </c>
      <c r="K874" s="460"/>
      <c r="M874" s="278">
        <f t="shared" si="60"/>
        <v>0</v>
      </c>
      <c r="N874" s="415"/>
      <c r="O874" s="415"/>
    </row>
    <row r="875" s="278" customFormat="1" ht="20" hidden="1" customHeight="1" spans="1:16">
      <c r="A875" s="438">
        <v>2130599</v>
      </c>
      <c r="B875" s="422" t="s">
        <v>820</v>
      </c>
      <c r="C875" s="464">
        <v>7123.180621</v>
      </c>
      <c r="D875" s="466">
        <f>1083.1+7974</f>
        <v>9057.1</v>
      </c>
      <c r="E875" s="464">
        <v>4024</v>
      </c>
      <c r="F875" s="457">
        <f>E875/D875*100</f>
        <v>44.4292323149794</v>
      </c>
      <c r="G875" s="458">
        <f t="shared" si="59"/>
        <v>-3099.180621</v>
      </c>
      <c r="H875" s="457">
        <f>G875/C875*100</f>
        <v>-43.5083818015683</v>
      </c>
      <c r="I875" s="462">
        <f>571.1+12.6+1740+569</f>
        <v>2892.7</v>
      </c>
      <c r="J875" s="459">
        <f t="shared" si="58"/>
        <v>-6164.4</v>
      </c>
      <c r="K875" s="460">
        <f>J875/D875*100</f>
        <v>-68.0615207958397</v>
      </c>
      <c r="M875" s="278">
        <f t="shared" si="60"/>
        <v>1070</v>
      </c>
      <c r="N875" s="415">
        <v>1070</v>
      </c>
      <c r="O875" s="415"/>
      <c r="P875" s="278">
        <v>2023</v>
      </c>
    </row>
    <row r="876" customFormat="1" ht="20" hidden="1" customHeight="1" spans="1:16">
      <c r="A876" s="437">
        <v>21307</v>
      </c>
      <c r="B876" s="427" t="s">
        <v>821</v>
      </c>
      <c r="C876" s="461">
        <f>SUM(C877:C882)</f>
        <v>5891.224219</v>
      </c>
      <c r="D876" s="461">
        <f>SUM(D877:D882)</f>
        <v>5686.2649</v>
      </c>
      <c r="E876" s="461">
        <f>SUM(E877:E882)</f>
        <v>8837</v>
      </c>
      <c r="F876" s="457">
        <f>E876/D876*100</f>
        <v>155.409572987006</v>
      </c>
      <c r="G876" s="458">
        <f t="shared" si="59"/>
        <v>2945.775781</v>
      </c>
      <c r="H876" s="457">
        <f>G876/C876*100</f>
        <v>50.0027782256101</v>
      </c>
      <c r="I876" s="461">
        <f>SUM(I877:I882)</f>
        <v>6322.92</v>
      </c>
      <c r="J876" s="459">
        <f t="shared" si="58"/>
        <v>636.6551</v>
      </c>
      <c r="K876" s="460">
        <f>J876/D876*100</f>
        <v>11.1963672322054</v>
      </c>
      <c r="M876">
        <f t="shared" si="60"/>
        <v>0</v>
      </c>
      <c r="N876" s="415"/>
      <c r="O876" s="415"/>
    </row>
    <row r="877" s="278" customFormat="1" ht="20" hidden="1" customHeight="1" spans="1:16">
      <c r="A877" s="438">
        <v>2130701</v>
      </c>
      <c r="B877" s="422" t="s">
        <v>822</v>
      </c>
      <c r="C877" s="464">
        <v>400</v>
      </c>
      <c r="D877" s="461">
        <f>51+2652</f>
        <v>2703</v>
      </c>
      <c r="E877" s="464">
        <v>2582</v>
      </c>
      <c r="F877" s="457">
        <f>E877/D877*100</f>
        <v>95.5234924158343</v>
      </c>
      <c r="G877" s="458">
        <f t="shared" si="59"/>
        <v>2182</v>
      </c>
      <c r="H877" s="457">
        <f>G877/C877*100</f>
        <v>545.5</v>
      </c>
      <c r="I877" s="461">
        <f>28.74+2130</f>
        <v>2158.74</v>
      </c>
      <c r="J877" s="459">
        <f t="shared" si="58"/>
        <v>-544.26</v>
      </c>
      <c r="K877" s="460">
        <f>J877/D877*100</f>
        <v>-20.1354051054384</v>
      </c>
      <c r="M877" s="278">
        <f t="shared" si="60"/>
        <v>0</v>
      </c>
      <c r="N877" s="415"/>
      <c r="O877" s="415"/>
      <c r="P877" s="278">
        <v>2532</v>
      </c>
    </row>
    <row r="878" s="278" customFormat="1" ht="20" hidden="1" customHeight="1" spans="1:16">
      <c r="A878" s="438">
        <v>2130704</v>
      </c>
      <c r="B878" s="422" t="s">
        <v>823</v>
      </c>
      <c r="C878" s="464">
        <v>0</v>
      </c>
      <c r="D878" s="461"/>
      <c r="E878" s="464">
        <v>0</v>
      </c>
      <c r="F878" s="457"/>
      <c r="G878" s="458">
        <f t="shared" si="59"/>
        <v>0</v>
      </c>
      <c r="H878" s="457"/>
      <c r="I878" s="461"/>
      <c r="J878" s="459">
        <f t="shared" si="58"/>
        <v>0</v>
      </c>
      <c r="K878" s="460"/>
      <c r="M878" s="278">
        <f t="shared" si="60"/>
        <v>0</v>
      </c>
      <c r="N878" s="415"/>
      <c r="O878" s="415"/>
    </row>
    <row r="879" s="278" customFormat="1" ht="20" hidden="1" customHeight="1" spans="1:16">
      <c r="A879" s="438">
        <v>2130705</v>
      </c>
      <c r="B879" s="422" t="s">
        <v>824</v>
      </c>
      <c r="C879" s="464">
        <v>5428.379643</v>
      </c>
      <c r="D879" s="461">
        <v>2970.2649</v>
      </c>
      <c r="E879" s="464">
        <v>6005</v>
      </c>
      <c r="F879" s="457">
        <f>E879/D879*100</f>
        <v>202.17052021185</v>
      </c>
      <c r="G879" s="458">
        <f t="shared" si="59"/>
        <v>576.620357</v>
      </c>
      <c r="H879" s="457">
        <f>G879/C879*100</f>
        <v>10.6223292201673</v>
      </c>
      <c r="I879" s="461">
        <v>4145.18</v>
      </c>
      <c r="J879" s="459">
        <f t="shared" si="58"/>
        <v>1174.9151</v>
      </c>
      <c r="K879" s="460">
        <f>J879/D879*100</f>
        <v>39.5559029095351</v>
      </c>
      <c r="M879" s="278">
        <f t="shared" si="60"/>
        <v>3825</v>
      </c>
      <c r="N879" s="415">
        <v>3825</v>
      </c>
      <c r="O879" s="415"/>
    </row>
    <row r="880" s="278" customFormat="1" ht="20" hidden="1" customHeight="1" spans="1:16">
      <c r="A880" s="438">
        <v>2130706</v>
      </c>
      <c r="B880" s="422" t="s">
        <v>825</v>
      </c>
      <c r="C880" s="464">
        <v>0</v>
      </c>
      <c r="D880" s="461"/>
      <c r="E880" s="464">
        <v>142</v>
      </c>
      <c r="F880" s="457"/>
      <c r="G880" s="458">
        <f t="shared" si="59"/>
        <v>142</v>
      </c>
      <c r="H880" s="457"/>
      <c r="I880" s="461"/>
      <c r="J880" s="459">
        <f t="shared" si="58"/>
        <v>0</v>
      </c>
      <c r="K880" s="460"/>
      <c r="M880" s="278">
        <f t="shared" si="60"/>
        <v>0</v>
      </c>
      <c r="N880" s="415"/>
      <c r="O880" s="415"/>
    </row>
    <row r="881" s="278" customFormat="1" ht="20" hidden="1" customHeight="1" spans="1:17">
      <c r="A881" s="438">
        <v>2130707</v>
      </c>
      <c r="B881" s="422" t="s">
        <v>826</v>
      </c>
      <c r="C881" s="464">
        <v>49.91</v>
      </c>
      <c r="D881" s="461"/>
      <c r="E881" s="464">
        <v>100</v>
      </c>
      <c r="F881" s="457"/>
      <c r="G881" s="458">
        <f t="shared" si="59"/>
        <v>50.09</v>
      </c>
      <c r="H881" s="457">
        <f>G881/C881*100</f>
        <v>100.360649168503</v>
      </c>
      <c r="I881" s="461"/>
      <c r="J881" s="459">
        <f t="shared" si="58"/>
        <v>0</v>
      </c>
      <c r="K881" s="460"/>
      <c r="M881" s="278">
        <f t="shared" si="60"/>
        <v>0</v>
      </c>
      <c r="N881" s="415"/>
      <c r="O881" s="415"/>
      <c r="P881" s="278">
        <v>182</v>
      </c>
      <c r="Q881" s="278">
        <v>1049</v>
      </c>
    </row>
    <row r="882" s="278" customFormat="1" ht="20" hidden="1" customHeight="1" spans="1:17">
      <c r="A882" s="438">
        <v>2130799</v>
      </c>
      <c r="B882" s="422" t="s">
        <v>827</v>
      </c>
      <c r="C882" s="464">
        <v>12.934576</v>
      </c>
      <c r="D882" s="461">
        <v>13</v>
      </c>
      <c r="E882" s="464">
        <v>8</v>
      </c>
      <c r="F882" s="457">
        <f>E882/D882*100</f>
        <v>61.5384615384615</v>
      </c>
      <c r="G882" s="458">
        <f t="shared" si="59"/>
        <v>-4.934576</v>
      </c>
      <c r="H882" s="457">
        <f>G882/C882*100</f>
        <v>-38.1502725717488</v>
      </c>
      <c r="I882" s="461">
        <f>5+14</f>
        <v>19</v>
      </c>
      <c r="J882" s="459">
        <f t="shared" si="58"/>
        <v>6</v>
      </c>
      <c r="K882" s="460">
        <f>J882/D882*100</f>
        <v>46.1538461538462</v>
      </c>
      <c r="M882" s="278">
        <f t="shared" si="60"/>
        <v>0</v>
      </c>
      <c r="N882" s="415"/>
      <c r="O882" s="415"/>
      <c r="P882" s="278">
        <v>14</v>
      </c>
    </row>
    <row r="883" customFormat="1" ht="20" hidden="1" customHeight="1" spans="1:17">
      <c r="A883" s="437">
        <v>21308</v>
      </c>
      <c r="B883" s="427" t="s">
        <v>828</v>
      </c>
      <c r="C883" s="461">
        <f>SUM(C884:C888)</f>
        <v>50.34215</v>
      </c>
      <c r="D883" s="461">
        <f>SUM(D884:D888)</f>
        <v>744.841201</v>
      </c>
      <c r="E883" s="461">
        <f>SUM(E884:E888)</f>
        <v>2559</v>
      </c>
      <c r="F883" s="457">
        <f>E883/D883*100</f>
        <v>343.563164412007</v>
      </c>
      <c r="G883" s="458">
        <f t="shared" si="59"/>
        <v>2508.65785</v>
      </c>
      <c r="H883" s="457">
        <f>G883/C883*100</f>
        <v>4983.21555595063</v>
      </c>
      <c r="I883" s="461">
        <f>SUM(I884:I888)</f>
        <v>2310.29</v>
      </c>
      <c r="J883" s="459">
        <f t="shared" si="58"/>
        <v>1565.448799</v>
      </c>
      <c r="K883" s="460">
        <f>J883/D883*100</f>
        <v>210.172154399928</v>
      </c>
      <c r="M883">
        <f t="shared" si="60"/>
        <v>0</v>
      </c>
      <c r="N883" s="415"/>
      <c r="O883" s="415"/>
    </row>
    <row r="884" customFormat="1" ht="20" hidden="1" customHeight="1" spans="1:17">
      <c r="A884" s="438">
        <v>2130801</v>
      </c>
      <c r="B884" s="239" t="s">
        <v>829</v>
      </c>
      <c r="C884" s="461">
        <v>0</v>
      </c>
      <c r="D884" s="461"/>
      <c r="E884" s="461">
        <v>0</v>
      </c>
      <c r="F884" s="457"/>
      <c r="G884" s="458">
        <f t="shared" si="59"/>
        <v>0</v>
      </c>
      <c r="H884" s="457"/>
      <c r="I884" s="461"/>
      <c r="J884" s="459">
        <f t="shared" si="58"/>
        <v>0</v>
      </c>
      <c r="K884" s="460"/>
      <c r="M884">
        <f t="shared" si="60"/>
        <v>0</v>
      </c>
      <c r="N884" s="415"/>
      <c r="O884" s="415"/>
    </row>
    <row r="885" customFormat="1" ht="20" hidden="1" customHeight="1" spans="1:17">
      <c r="A885" s="438">
        <v>2130803</v>
      </c>
      <c r="B885" s="439" t="s">
        <v>830</v>
      </c>
      <c r="C885" s="461">
        <v>27</v>
      </c>
      <c r="D885" s="461">
        <v>736</v>
      </c>
      <c r="E885" s="461">
        <v>2559</v>
      </c>
      <c r="F885" s="457">
        <f>E885/D885*100</f>
        <v>347.690217391304</v>
      </c>
      <c r="G885" s="458">
        <f t="shared" si="59"/>
        <v>2532</v>
      </c>
      <c r="H885" s="457">
        <f>G885/C885*100</f>
        <v>9377.77777777778</v>
      </c>
      <c r="I885" s="461">
        <f>719.29+1591</f>
        <v>2310.29</v>
      </c>
      <c r="J885" s="459">
        <f t="shared" si="58"/>
        <v>1574.29</v>
      </c>
      <c r="K885" s="460">
        <f>J885/D885*100</f>
        <v>213.898097826087</v>
      </c>
      <c r="M885">
        <f t="shared" si="60"/>
        <v>0</v>
      </c>
      <c r="N885" s="415"/>
      <c r="O885" s="415"/>
      <c r="Q885">
        <v>3573</v>
      </c>
    </row>
    <row r="886" customFormat="1" ht="20" hidden="1" customHeight="1" spans="1:17">
      <c r="A886" s="438">
        <v>2130804</v>
      </c>
      <c r="B886" s="439" t="s">
        <v>831</v>
      </c>
      <c r="C886" s="461">
        <v>23.34215</v>
      </c>
      <c r="D886" s="461">
        <v>8.841201</v>
      </c>
      <c r="E886" s="461"/>
      <c r="F886" s="457">
        <f>E886/D886*100</f>
        <v>0</v>
      </c>
      <c r="G886" s="458">
        <f t="shared" si="59"/>
        <v>-23.34215</v>
      </c>
      <c r="H886" s="457">
        <f>G886/C886*100</f>
        <v>-100</v>
      </c>
      <c r="I886" s="461"/>
      <c r="J886" s="459">
        <f t="shared" si="58"/>
        <v>-8.841201</v>
      </c>
      <c r="K886" s="460">
        <f>J886/D886*100</f>
        <v>-100</v>
      </c>
      <c r="M886">
        <f t="shared" si="60"/>
        <v>0</v>
      </c>
      <c r="N886" s="415"/>
      <c r="O886" s="415"/>
      <c r="P886">
        <v>26</v>
      </c>
      <c r="Q886">
        <v>6</v>
      </c>
    </row>
    <row r="887" customFormat="1" ht="20" hidden="1" customHeight="1" spans="1:17">
      <c r="A887" s="438">
        <v>2130805</v>
      </c>
      <c r="B887" s="439" t="s">
        <v>832</v>
      </c>
      <c r="C887" s="461">
        <v>0</v>
      </c>
      <c r="D887" s="461"/>
      <c r="E887" s="461">
        <v>0</v>
      </c>
      <c r="F887" s="457"/>
      <c r="G887" s="458">
        <f t="shared" si="59"/>
        <v>0</v>
      </c>
      <c r="H887" s="457"/>
      <c r="I887" s="461"/>
      <c r="J887" s="459">
        <f t="shared" si="58"/>
        <v>0</v>
      </c>
      <c r="K887" s="460"/>
      <c r="M887">
        <f t="shared" si="60"/>
        <v>0</v>
      </c>
      <c r="N887" s="415"/>
      <c r="O887" s="415"/>
    </row>
    <row r="888" customFormat="1" ht="20" hidden="1" customHeight="1" spans="1:17">
      <c r="A888" s="438">
        <v>2130899</v>
      </c>
      <c r="B888" s="439" t="s">
        <v>833</v>
      </c>
      <c r="C888" s="461">
        <v>0</v>
      </c>
      <c r="D888" s="461"/>
      <c r="E888" s="461">
        <v>0</v>
      </c>
      <c r="F888" s="457"/>
      <c r="G888" s="458">
        <f t="shared" si="59"/>
        <v>0</v>
      </c>
      <c r="H888" s="457"/>
      <c r="I888" s="461"/>
      <c r="J888" s="459">
        <f t="shared" si="58"/>
        <v>0</v>
      </c>
      <c r="K888" s="460"/>
      <c r="M888">
        <f t="shared" si="60"/>
        <v>0</v>
      </c>
      <c r="N888" s="415"/>
      <c r="O888" s="415"/>
    </row>
    <row r="889" customFormat="1" ht="20" hidden="1" customHeight="1" spans="1:17">
      <c r="A889" s="437">
        <v>21309</v>
      </c>
      <c r="B889" s="427" t="s">
        <v>834</v>
      </c>
      <c r="C889" s="461">
        <v>0</v>
      </c>
      <c r="D889" s="461"/>
      <c r="E889" s="461">
        <v>0</v>
      </c>
      <c r="F889" s="457"/>
      <c r="G889" s="458">
        <f t="shared" si="59"/>
        <v>0</v>
      </c>
      <c r="H889" s="457"/>
      <c r="I889" s="461"/>
      <c r="J889" s="459">
        <f t="shared" si="58"/>
        <v>0</v>
      </c>
      <c r="K889" s="460"/>
      <c r="M889">
        <f t="shared" si="60"/>
        <v>0</v>
      </c>
      <c r="N889" s="415"/>
      <c r="O889" s="415"/>
    </row>
    <row r="890" customFormat="1" ht="20" hidden="1" customHeight="1" spans="1:17">
      <c r="A890" s="438">
        <v>2130901</v>
      </c>
      <c r="B890" s="239" t="s">
        <v>835</v>
      </c>
      <c r="C890" s="461">
        <v>0</v>
      </c>
      <c r="D890" s="461"/>
      <c r="E890" s="461">
        <v>0</v>
      </c>
      <c r="F890" s="457"/>
      <c r="G890" s="458">
        <f t="shared" si="59"/>
        <v>0</v>
      </c>
      <c r="H890" s="457"/>
      <c r="I890" s="461"/>
      <c r="J890" s="459">
        <f t="shared" si="58"/>
        <v>0</v>
      </c>
      <c r="K890" s="460"/>
      <c r="M890">
        <f t="shared" si="60"/>
        <v>0</v>
      </c>
      <c r="N890" s="415"/>
      <c r="O890" s="415"/>
    </row>
    <row r="891" customFormat="1" ht="20" hidden="1" customHeight="1" spans="1:17">
      <c r="A891" s="438">
        <v>2130999</v>
      </c>
      <c r="B891" s="239" t="s">
        <v>836</v>
      </c>
      <c r="C891" s="461">
        <v>0</v>
      </c>
      <c r="D891" s="461"/>
      <c r="E891" s="461">
        <v>0</v>
      </c>
      <c r="F891" s="457"/>
      <c r="G891" s="458">
        <f t="shared" si="59"/>
        <v>0</v>
      </c>
      <c r="H891" s="457"/>
      <c r="I891" s="461"/>
      <c r="J891" s="459">
        <f t="shared" si="58"/>
        <v>0</v>
      </c>
      <c r="K891" s="460"/>
      <c r="M891">
        <f t="shared" si="60"/>
        <v>0</v>
      </c>
      <c r="N891" s="415"/>
      <c r="O891" s="415"/>
    </row>
    <row r="892" customFormat="1" ht="20" hidden="1" customHeight="1" spans="1:17">
      <c r="A892" s="437">
        <v>21399</v>
      </c>
      <c r="B892" s="427" t="s">
        <v>837</v>
      </c>
      <c r="C892" s="470">
        <f>SUM(C893:C894)</f>
        <v>72.9</v>
      </c>
      <c r="D892" s="470">
        <f>SUM(D893:D894)</f>
        <v>0</v>
      </c>
      <c r="E892" s="470">
        <f>SUM(E893:E894)</f>
        <v>501</v>
      </c>
      <c r="F892" s="457"/>
      <c r="G892" s="458">
        <f t="shared" si="59"/>
        <v>428.1</v>
      </c>
      <c r="H892" s="457">
        <f>G892/C892*100</f>
        <v>587.24279835391</v>
      </c>
      <c r="I892" s="470">
        <f>SUM(I893:I894)</f>
        <v>145.51</v>
      </c>
      <c r="J892" s="459">
        <f t="shared" si="58"/>
        <v>145.51</v>
      </c>
      <c r="K892" s="460"/>
      <c r="M892">
        <f t="shared" si="60"/>
        <v>0</v>
      </c>
      <c r="N892" s="415"/>
      <c r="O892" s="415"/>
    </row>
    <row r="893" customFormat="1" ht="20" hidden="1" customHeight="1" spans="1:17">
      <c r="A893" s="438">
        <v>2139901</v>
      </c>
      <c r="B893" s="239" t="s">
        <v>838</v>
      </c>
      <c r="C893" s="461">
        <v>0</v>
      </c>
      <c r="D893" s="461"/>
      <c r="E893" s="461">
        <v>0</v>
      </c>
      <c r="F893" s="457"/>
      <c r="G893" s="458">
        <f t="shared" si="59"/>
        <v>0</v>
      </c>
      <c r="H893" s="457"/>
      <c r="I893" s="461"/>
      <c r="J893" s="459">
        <f t="shared" si="58"/>
        <v>0</v>
      </c>
      <c r="K893" s="460"/>
      <c r="M893">
        <f t="shared" si="60"/>
        <v>0</v>
      </c>
      <c r="N893" s="415"/>
      <c r="O893" s="415"/>
    </row>
    <row r="894" s="278" customFormat="1" ht="20" hidden="1" customHeight="1" spans="1:17">
      <c r="A894" s="438">
        <v>2139999</v>
      </c>
      <c r="B894" s="422" t="s">
        <v>839</v>
      </c>
      <c r="C894" s="461">
        <v>72.9</v>
      </c>
      <c r="D894" s="461"/>
      <c r="E894" s="461">
        <v>501</v>
      </c>
      <c r="F894" s="457"/>
      <c r="G894" s="458">
        <f t="shared" si="59"/>
        <v>428.1</v>
      </c>
      <c r="H894" s="457">
        <f>G894/C894*100</f>
        <v>587.24279835391</v>
      </c>
      <c r="I894" s="461">
        <v>145.51</v>
      </c>
      <c r="J894" s="459">
        <f t="shared" si="58"/>
        <v>145.51</v>
      </c>
      <c r="K894" s="460"/>
      <c r="M894" s="278">
        <f t="shared" si="60"/>
        <v>0</v>
      </c>
      <c r="N894" s="415"/>
      <c r="O894" s="415"/>
    </row>
    <row r="895" s="278" customFormat="1" ht="20" customHeight="1" spans="1:17">
      <c r="A895" s="412">
        <v>214</v>
      </c>
      <c r="B895" s="413" t="s">
        <v>840</v>
      </c>
      <c r="C895" s="346">
        <f>SUM(C896:C951)/2</f>
        <v>1765.004912</v>
      </c>
      <c r="D895" s="346">
        <f>SUM(D896:D951)/2</f>
        <v>7124.108949</v>
      </c>
      <c r="E895" s="346">
        <f>SUM(E896:E951)/2</f>
        <v>2610</v>
      </c>
      <c r="F895" s="414">
        <f>E895/D895*100</f>
        <v>36.6361606579074</v>
      </c>
      <c r="G895" s="346">
        <f t="shared" si="59"/>
        <v>844.995088</v>
      </c>
      <c r="H895" s="414">
        <f>G895/C895*100</f>
        <v>47.8749425712646</v>
      </c>
      <c r="I895" s="346">
        <f>SUM(I896:I951)/2</f>
        <v>2355.626616</v>
      </c>
      <c r="J895" s="307">
        <f t="shared" si="58"/>
        <v>-4768.482333</v>
      </c>
      <c r="K895" s="306">
        <f>J895/D895*100</f>
        <v>-66.9344386383836</v>
      </c>
      <c r="M895" s="278">
        <f t="shared" si="60"/>
        <v>0</v>
      </c>
      <c r="N895" s="415"/>
      <c r="O895" s="415"/>
    </row>
    <row r="896" customFormat="1" ht="20" hidden="1" customHeight="1" spans="1:17">
      <c r="A896" s="437">
        <v>21401</v>
      </c>
      <c r="B896" s="427" t="s">
        <v>841</v>
      </c>
      <c r="C896" s="461">
        <f>SUM(C897:C916)</f>
        <v>1623.75363</v>
      </c>
      <c r="D896" s="461">
        <f>SUM(D897:D916)</f>
        <v>7124.108949</v>
      </c>
      <c r="E896" s="461">
        <f>SUM(E897:E916)</f>
        <v>2610</v>
      </c>
      <c r="F896" s="457">
        <f>E896/D896*100</f>
        <v>36.6361606579074</v>
      </c>
      <c r="G896" s="458">
        <f t="shared" si="59"/>
        <v>986.24637</v>
      </c>
      <c r="H896" s="457">
        <f>G896/C896*100</f>
        <v>60.7386706812166</v>
      </c>
      <c r="I896" s="461">
        <f>SUM(I897:I916)</f>
        <v>2355.626616</v>
      </c>
      <c r="J896" s="459">
        <f t="shared" si="58"/>
        <v>-4768.482333</v>
      </c>
      <c r="K896" s="460">
        <f>J896/D896*100</f>
        <v>-66.9344386383836</v>
      </c>
      <c r="M896">
        <f t="shared" si="60"/>
        <v>0</v>
      </c>
      <c r="N896" s="415"/>
      <c r="O896" s="415"/>
    </row>
    <row r="897" s="278" customFormat="1" ht="20" hidden="1" customHeight="1" spans="1:17">
      <c r="A897" s="438">
        <v>2140101</v>
      </c>
      <c r="B897" s="422" t="s">
        <v>731</v>
      </c>
      <c r="C897" s="461">
        <v>479.677194</v>
      </c>
      <c r="D897" s="466">
        <v>432.98264</v>
      </c>
      <c r="E897" s="461">
        <v>470</v>
      </c>
      <c r="F897" s="457">
        <f>E897/D897*100</f>
        <v>108.549386645155</v>
      </c>
      <c r="G897" s="458">
        <f t="shared" si="59"/>
        <v>-9.67719399999999</v>
      </c>
      <c r="H897" s="457">
        <f>G897/C897*100</f>
        <v>-2.01743883616864</v>
      </c>
      <c r="I897" s="462">
        <v>493</v>
      </c>
      <c r="J897" s="459">
        <f t="shared" si="58"/>
        <v>60.01736</v>
      </c>
      <c r="K897" s="460">
        <f>J897/D897*100</f>
        <v>13.8613779065138</v>
      </c>
      <c r="M897" s="278">
        <f t="shared" si="60"/>
        <v>543</v>
      </c>
      <c r="N897" s="415">
        <v>543</v>
      </c>
      <c r="O897" s="415"/>
    </row>
    <row r="898" s="278" customFormat="1" ht="20" hidden="1" customHeight="1" spans="1:17">
      <c r="A898" s="438">
        <v>2140102</v>
      </c>
      <c r="B898" s="422" t="s">
        <v>732</v>
      </c>
      <c r="C898" s="461">
        <v>657.9043</v>
      </c>
      <c r="D898" s="466">
        <f>630+3+3223.72+2529</f>
        <v>6385.72</v>
      </c>
      <c r="E898" s="461">
        <v>1421</v>
      </c>
      <c r="F898" s="457">
        <f>E898/D898*100</f>
        <v>22.2527765075825</v>
      </c>
      <c r="G898" s="458">
        <f t="shared" si="59"/>
        <v>763.0957</v>
      </c>
      <c r="H898" s="457">
        <f>G898/C898*100</f>
        <v>115.988860385925</v>
      </c>
      <c r="I898" s="462">
        <f>3+1061+442.02</f>
        <v>1506.02</v>
      </c>
      <c r="J898" s="459">
        <f t="shared" si="58"/>
        <v>-4879.7</v>
      </c>
      <c r="K898" s="460">
        <f>J898/D898*100</f>
        <v>-76.4158152878611</v>
      </c>
      <c r="M898" s="278">
        <f t="shared" si="60"/>
        <v>0</v>
      </c>
      <c r="N898" s="415"/>
      <c r="O898" s="415"/>
      <c r="P898" s="278">
        <v>3224</v>
      </c>
      <c r="Q898" s="278">
        <v>540</v>
      </c>
    </row>
    <row r="899" s="278" customFormat="1" ht="20" hidden="1" customHeight="1" spans="1:17">
      <c r="A899" s="438">
        <v>2140103</v>
      </c>
      <c r="B899" s="422" t="s">
        <v>733</v>
      </c>
      <c r="C899" s="461">
        <v>0</v>
      </c>
      <c r="D899" s="461"/>
      <c r="E899" s="461"/>
      <c r="F899" s="457"/>
      <c r="G899" s="458">
        <f t="shared" si="59"/>
        <v>0</v>
      </c>
      <c r="H899" s="457"/>
      <c r="I899" s="461"/>
      <c r="J899" s="459">
        <f t="shared" si="58"/>
        <v>0</v>
      </c>
      <c r="K899" s="460"/>
      <c r="M899" s="278">
        <f t="shared" si="60"/>
        <v>0</v>
      </c>
      <c r="N899" s="415"/>
      <c r="O899" s="415"/>
    </row>
    <row r="900" s="278" customFormat="1" ht="20" hidden="1" customHeight="1" spans="1:17">
      <c r="A900" s="438">
        <v>2140104</v>
      </c>
      <c r="B900" s="422" t="s">
        <v>842</v>
      </c>
      <c r="C900" s="461">
        <v>0</v>
      </c>
      <c r="D900" s="461"/>
      <c r="E900" s="461">
        <v>76</v>
      </c>
      <c r="F900" s="457"/>
      <c r="G900" s="458">
        <f t="shared" si="59"/>
        <v>76</v>
      </c>
      <c r="H900" s="457"/>
      <c r="I900" s="461">
        <v>1</v>
      </c>
      <c r="J900" s="459">
        <f t="shared" si="58"/>
        <v>1</v>
      </c>
      <c r="K900" s="460"/>
      <c r="M900" s="278">
        <f t="shared" si="60"/>
        <v>0</v>
      </c>
      <c r="N900" s="415"/>
      <c r="O900" s="415"/>
    </row>
    <row r="901" s="278" customFormat="1" ht="20" hidden="1" customHeight="1" spans="1:17">
      <c r="A901" s="438">
        <v>2140106</v>
      </c>
      <c r="B901" s="422" t="s">
        <v>843</v>
      </c>
      <c r="C901" s="461">
        <v>136.356125</v>
      </c>
      <c r="D901" s="461"/>
      <c r="E901" s="461">
        <v>80</v>
      </c>
      <c r="F901" s="457"/>
      <c r="G901" s="458">
        <f t="shared" si="59"/>
        <v>-56.356125</v>
      </c>
      <c r="H901" s="457">
        <f>G901/C901*100</f>
        <v>-41.3301015997631</v>
      </c>
      <c r="I901" s="461">
        <v>76</v>
      </c>
      <c r="J901" s="459">
        <f t="shared" si="58"/>
        <v>76</v>
      </c>
      <c r="K901" s="460"/>
      <c r="M901" s="278">
        <f t="shared" si="60"/>
        <v>0</v>
      </c>
      <c r="N901" s="415"/>
      <c r="O901" s="415"/>
      <c r="P901" s="278">
        <v>101</v>
      </c>
      <c r="Q901" s="278">
        <v>772</v>
      </c>
    </row>
    <row r="902" s="278" customFormat="1" ht="20" hidden="1" customHeight="1" spans="1:17">
      <c r="A902" s="438">
        <v>2140109</v>
      </c>
      <c r="B902" s="422" t="s">
        <v>844</v>
      </c>
      <c r="C902" s="461">
        <v>0</v>
      </c>
      <c r="D902" s="461"/>
      <c r="E902" s="461"/>
      <c r="F902" s="457"/>
      <c r="G902" s="458">
        <f t="shared" si="59"/>
        <v>0</v>
      </c>
      <c r="H902" s="457"/>
      <c r="I902" s="461"/>
      <c r="J902" s="459">
        <f t="shared" si="58"/>
        <v>0</v>
      </c>
      <c r="K902" s="460"/>
      <c r="M902" s="278">
        <f t="shared" si="60"/>
        <v>0</v>
      </c>
      <c r="N902" s="415"/>
      <c r="O902" s="415"/>
    </row>
    <row r="903" s="278" customFormat="1" ht="20" hidden="1" customHeight="1" spans="1:17">
      <c r="A903" s="438">
        <v>2140110</v>
      </c>
      <c r="B903" s="422" t="s">
        <v>845</v>
      </c>
      <c r="C903" s="461">
        <v>0</v>
      </c>
      <c r="D903" s="461"/>
      <c r="E903" s="461"/>
      <c r="F903" s="457"/>
      <c r="G903" s="458">
        <f t="shared" si="59"/>
        <v>0</v>
      </c>
      <c r="H903" s="457"/>
      <c r="I903" s="461"/>
      <c r="J903" s="459">
        <f t="shared" ref="J903:J966" si="61">I903-D903</f>
        <v>0</v>
      </c>
      <c r="K903" s="460"/>
      <c r="M903" s="278">
        <f t="shared" si="60"/>
        <v>0</v>
      </c>
      <c r="N903" s="415"/>
      <c r="O903" s="415"/>
      <c r="P903" s="278">
        <v>10</v>
      </c>
      <c r="Q903" s="278">
        <v>10</v>
      </c>
    </row>
    <row r="904" s="278" customFormat="1" ht="20" hidden="1" customHeight="1" spans="1:17">
      <c r="A904" s="438">
        <v>2140112</v>
      </c>
      <c r="B904" s="422" t="s">
        <v>846</v>
      </c>
      <c r="C904" s="461">
        <v>340.802131</v>
      </c>
      <c r="D904" s="466">
        <v>296.601422</v>
      </c>
      <c r="E904" s="461">
        <v>550</v>
      </c>
      <c r="F904" s="457">
        <f>E904/D904*100</f>
        <v>185.434040164514</v>
      </c>
      <c r="G904" s="458">
        <f t="shared" ref="G904:G967" si="62">E904-C904</f>
        <v>209.197869</v>
      </c>
      <c r="H904" s="457">
        <f>G904/C904*100</f>
        <v>61.3839674024808</v>
      </c>
      <c r="I904" s="462">
        <v>271.206734</v>
      </c>
      <c r="J904" s="459">
        <f t="shared" si="61"/>
        <v>-25.394688</v>
      </c>
      <c r="K904" s="460">
        <f>J904/D904*100</f>
        <v>-8.56189017192238</v>
      </c>
      <c r="M904" s="278">
        <f t="shared" si="60"/>
        <v>250</v>
      </c>
      <c r="N904" s="415">
        <v>250</v>
      </c>
      <c r="O904" s="415"/>
    </row>
    <row r="905" s="278" customFormat="1" ht="20" hidden="1" customHeight="1" spans="1:17">
      <c r="A905" s="438">
        <v>2140114</v>
      </c>
      <c r="B905" s="422" t="s">
        <v>847</v>
      </c>
      <c r="C905" s="461">
        <v>0</v>
      </c>
      <c r="D905" s="461"/>
      <c r="E905" s="461">
        <v>0</v>
      </c>
      <c r="F905" s="457"/>
      <c r="G905" s="458">
        <f t="shared" si="62"/>
        <v>0</v>
      </c>
      <c r="H905" s="457"/>
      <c r="I905" s="461"/>
      <c r="J905" s="459">
        <f t="shared" si="61"/>
        <v>0</v>
      </c>
      <c r="K905" s="460"/>
      <c r="M905" s="278">
        <f t="shared" si="60"/>
        <v>0</v>
      </c>
      <c r="N905" s="415"/>
      <c r="O905" s="415"/>
    </row>
    <row r="906" s="278" customFormat="1" ht="20" hidden="1" customHeight="1" spans="1:17">
      <c r="A906" s="438">
        <v>2140122</v>
      </c>
      <c r="B906" s="422" t="s">
        <v>848</v>
      </c>
      <c r="C906" s="461">
        <v>0</v>
      </c>
      <c r="D906" s="461"/>
      <c r="E906" s="461">
        <v>0</v>
      </c>
      <c r="F906" s="457"/>
      <c r="G906" s="458">
        <f t="shared" si="62"/>
        <v>0</v>
      </c>
      <c r="H906" s="457"/>
      <c r="I906" s="461"/>
      <c r="J906" s="459">
        <f t="shared" si="61"/>
        <v>0</v>
      </c>
      <c r="K906" s="460"/>
      <c r="M906" s="278">
        <f t="shared" si="60"/>
        <v>0</v>
      </c>
      <c r="N906" s="415"/>
      <c r="O906" s="415"/>
    </row>
    <row r="907" s="278" customFormat="1" ht="20" hidden="1" customHeight="1" spans="1:17">
      <c r="A907" s="438">
        <v>2140123</v>
      </c>
      <c r="B907" s="422" t="s">
        <v>849</v>
      </c>
      <c r="C907" s="461">
        <v>0</v>
      </c>
      <c r="D907" s="461"/>
      <c r="E907" s="461">
        <v>0</v>
      </c>
      <c r="F907" s="457"/>
      <c r="G907" s="458">
        <f t="shared" si="62"/>
        <v>0</v>
      </c>
      <c r="H907" s="457"/>
      <c r="I907" s="461"/>
      <c r="J907" s="459">
        <f t="shared" si="61"/>
        <v>0</v>
      </c>
      <c r="K907" s="460"/>
      <c r="M907" s="278">
        <f t="shared" si="60"/>
        <v>0</v>
      </c>
      <c r="N907" s="415"/>
      <c r="O907" s="415"/>
    </row>
    <row r="908" s="278" customFormat="1" ht="20" hidden="1" customHeight="1" spans="1:17">
      <c r="A908" s="438">
        <v>2140127</v>
      </c>
      <c r="B908" s="422" t="s">
        <v>850</v>
      </c>
      <c r="C908" s="461">
        <v>0</v>
      </c>
      <c r="D908" s="461"/>
      <c r="E908" s="461">
        <v>0</v>
      </c>
      <c r="F908" s="457"/>
      <c r="G908" s="458">
        <f t="shared" si="62"/>
        <v>0</v>
      </c>
      <c r="H908" s="457"/>
      <c r="I908" s="461"/>
      <c r="J908" s="459">
        <f t="shared" si="61"/>
        <v>0</v>
      </c>
      <c r="K908" s="460"/>
      <c r="M908" s="278">
        <f t="shared" si="60"/>
        <v>0</v>
      </c>
      <c r="N908" s="415"/>
      <c r="O908" s="415"/>
    </row>
    <row r="909" customFormat="1" ht="20" hidden="1" customHeight="1" spans="1:17">
      <c r="A909" s="438">
        <v>2140128</v>
      </c>
      <c r="B909" s="239" t="s">
        <v>851</v>
      </c>
      <c r="C909" s="461">
        <v>0</v>
      </c>
      <c r="D909" s="461"/>
      <c r="E909" s="461">
        <v>0</v>
      </c>
      <c r="F909" s="457"/>
      <c r="G909" s="458">
        <f t="shared" si="62"/>
        <v>0</v>
      </c>
      <c r="H909" s="457"/>
      <c r="I909" s="461"/>
      <c r="J909" s="459">
        <f t="shared" si="61"/>
        <v>0</v>
      </c>
      <c r="K909" s="460"/>
      <c r="M909">
        <f t="shared" si="60"/>
        <v>0</v>
      </c>
      <c r="N909" s="415"/>
      <c r="O909" s="415"/>
    </row>
    <row r="910" customFormat="1" ht="20" hidden="1" customHeight="1" spans="1:17">
      <c r="A910" s="438">
        <v>2140129</v>
      </c>
      <c r="B910" s="239" t="s">
        <v>852</v>
      </c>
      <c r="C910" s="461">
        <v>0</v>
      </c>
      <c r="D910" s="461"/>
      <c r="E910" s="461">
        <v>0</v>
      </c>
      <c r="F910" s="457"/>
      <c r="G910" s="458">
        <f t="shared" si="62"/>
        <v>0</v>
      </c>
      <c r="H910" s="457"/>
      <c r="I910" s="461"/>
      <c r="J910" s="459">
        <f t="shared" si="61"/>
        <v>0</v>
      </c>
      <c r="K910" s="460"/>
      <c r="M910">
        <f t="shared" si="60"/>
        <v>0</v>
      </c>
      <c r="N910" s="415"/>
      <c r="O910" s="415"/>
    </row>
    <row r="911" customFormat="1" ht="20" hidden="1" customHeight="1" spans="1:17">
      <c r="A911" s="438">
        <v>2140130</v>
      </c>
      <c r="B911" s="239" t="s">
        <v>853</v>
      </c>
      <c r="C911" s="461">
        <v>0</v>
      </c>
      <c r="D911" s="461"/>
      <c r="E911" s="461">
        <v>0</v>
      </c>
      <c r="F911" s="457"/>
      <c r="G911" s="458">
        <f t="shared" si="62"/>
        <v>0</v>
      </c>
      <c r="H911" s="457"/>
      <c r="I911" s="461"/>
      <c r="J911" s="459">
        <f t="shared" si="61"/>
        <v>0</v>
      </c>
      <c r="K911" s="460"/>
      <c r="M911">
        <f t="shared" si="60"/>
        <v>0</v>
      </c>
      <c r="N911" s="415"/>
      <c r="O911" s="415"/>
    </row>
    <row r="912" customFormat="1" ht="20" hidden="1" customHeight="1" spans="1:17">
      <c r="A912" s="438">
        <v>2140131</v>
      </c>
      <c r="B912" s="239" t="s">
        <v>854</v>
      </c>
      <c r="C912" s="461">
        <v>0</v>
      </c>
      <c r="D912" s="461"/>
      <c r="E912" s="461">
        <v>0</v>
      </c>
      <c r="F912" s="457"/>
      <c r="G912" s="458">
        <f t="shared" si="62"/>
        <v>0</v>
      </c>
      <c r="H912" s="457"/>
      <c r="I912" s="461"/>
      <c r="J912" s="459">
        <f t="shared" si="61"/>
        <v>0</v>
      </c>
      <c r="K912" s="460"/>
      <c r="M912">
        <f t="shared" si="60"/>
        <v>0</v>
      </c>
      <c r="N912" s="415"/>
      <c r="O912" s="415"/>
    </row>
    <row r="913" customFormat="1" ht="20" hidden="1" customHeight="1" spans="1:15">
      <c r="A913" s="438">
        <v>2140133</v>
      </c>
      <c r="B913" s="239" t="s">
        <v>855</v>
      </c>
      <c r="C913" s="461">
        <v>0</v>
      </c>
      <c r="D913" s="461"/>
      <c r="E913" s="461">
        <v>0</v>
      </c>
      <c r="F913" s="457"/>
      <c r="G913" s="458">
        <f t="shared" si="62"/>
        <v>0</v>
      </c>
      <c r="H913" s="457"/>
      <c r="I913" s="461"/>
      <c r="J913" s="459">
        <f t="shared" si="61"/>
        <v>0</v>
      </c>
      <c r="K913" s="460"/>
      <c r="M913">
        <f t="shared" si="60"/>
        <v>0</v>
      </c>
      <c r="N913" s="415"/>
      <c r="O913" s="415"/>
    </row>
    <row r="914" customFormat="1" ht="20" hidden="1" customHeight="1" spans="1:15">
      <c r="A914" s="438">
        <v>2140136</v>
      </c>
      <c r="B914" s="239" t="s">
        <v>856</v>
      </c>
      <c r="C914" s="461">
        <v>0</v>
      </c>
      <c r="D914" s="461"/>
      <c r="E914" s="461">
        <v>0</v>
      </c>
      <c r="F914" s="457"/>
      <c r="G914" s="458">
        <f t="shared" si="62"/>
        <v>0</v>
      </c>
      <c r="H914" s="457"/>
      <c r="I914" s="461"/>
      <c r="J914" s="459">
        <f t="shared" si="61"/>
        <v>0</v>
      </c>
      <c r="K914" s="460"/>
      <c r="M914">
        <f t="shared" si="60"/>
        <v>0</v>
      </c>
      <c r="N914" s="415"/>
      <c r="O914" s="415"/>
    </row>
    <row r="915" customFormat="1" ht="20" hidden="1" customHeight="1" spans="1:15">
      <c r="A915" s="438">
        <v>2140138</v>
      </c>
      <c r="B915" s="239" t="s">
        <v>857</v>
      </c>
      <c r="C915" s="461">
        <v>0</v>
      </c>
      <c r="D915" s="461"/>
      <c r="E915" s="461">
        <v>0</v>
      </c>
      <c r="F915" s="457"/>
      <c r="G915" s="458">
        <f t="shared" si="62"/>
        <v>0</v>
      </c>
      <c r="H915" s="457"/>
      <c r="I915" s="461"/>
      <c r="J915" s="459">
        <f t="shared" si="61"/>
        <v>0</v>
      </c>
      <c r="K915" s="460"/>
      <c r="M915">
        <f t="shared" si="60"/>
        <v>0</v>
      </c>
      <c r="N915" s="415"/>
      <c r="O915" s="415"/>
    </row>
    <row r="916" customFormat="1" ht="20" hidden="1" customHeight="1" spans="1:15">
      <c r="A916" s="438">
        <v>2140199</v>
      </c>
      <c r="B916" s="239" t="s">
        <v>858</v>
      </c>
      <c r="C916" s="461">
        <v>9.01388</v>
      </c>
      <c r="D916" s="466">
        <v>8.804887</v>
      </c>
      <c r="E916" s="461">
        <v>13</v>
      </c>
      <c r="F916" s="457">
        <f>E916/D916*100</f>
        <v>147.645279263663</v>
      </c>
      <c r="G916" s="458">
        <f t="shared" si="62"/>
        <v>3.98612</v>
      </c>
      <c r="H916" s="457">
        <f>G916/C916*100</f>
        <v>44.222022037125</v>
      </c>
      <c r="I916" s="462">
        <v>8.399882</v>
      </c>
      <c r="J916" s="459">
        <f t="shared" si="61"/>
        <v>-0.405005000000001</v>
      </c>
      <c r="K916" s="460">
        <f>J916/D916*100</f>
        <v>-4.5997751021677</v>
      </c>
      <c r="M916">
        <f t="shared" si="60"/>
        <v>11</v>
      </c>
      <c r="N916" s="415">
        <v>11</v>
      </c>
      <c r="O916" s="415"/>
    </row>
    <row r="917" customFormat="1" ht="20" hidden="1" customHeight="1" spans="1:15">
      <c r="A917" s="437">
        <v>21402</v>
      </c>
      <c r="B917" s="427" t="s">
        <v>859</v>
      </c>
      <c r="C917" s="461"/>
      <c r="D917" s="461"/>
      <c r="E917" s="461"/>
      <c r="F917" s="457"/>
      <c r="G917" s="458">
        <f t="shared" si="62"/>
        <v>0</v>
      </c>
      <c r="H917" s="457"/>
      <c r="I917" s="461"/>
      <c r="J917" s="459">
        <f t="shared" si="61"/>
        <v>0</v>
      </c>
      <c r="K917" s="460"/>
      <c r="M917">
        <f t="shared" si="60"/>
        <v>0</v>
      </c>
      <c r="N917" s="415"/>
      <c r="O917" s="415"/>
    </row>
    <row r="918" customFormat="1" ht="20" hidden="1" customHeight="1" spans="1:15">
      <c r="A918" s="440">
        <v>2140201</v>
      </c>
      <c r="B918" s="239" t="s">
        <v>731</v>
      </c>
      <c r="C918" s="461">
        <v>0</v>
      </c>
      <c r="D918" s="461"/>
      <c r="E918" s="461">
        <v>0</v>
      </c>
      <c r="F918" s="457"/>
      <c r="G918" s="458">
        <f t="shared" si="62"/>
        <v>0</v>
      </c>
      <c r="H918" s="457"/>
      <c r="I918" s="461"/>
      <c r="J918" s="459">
        <f t="shared" si="61"/>
        <v>0</v>
      </c>
      <c r="K918" s="460"/>
      <c r="M918">
        <f t="shared" si="60"/>
        <v>0</v>
      </c>
      <c r="N918" s="415"/>
      <c r="O918" s="415"/>
    </row>
    <row r="919" customFormat="1" ht="20" hidden="1" customHeight="1" spans="1:15">
      <c r="A919" s="440">
        <v>2140202</v>
      </c>
      <c r="B919" s="239" t="s">
        <v>732</v>
      </c>
      <c r="C919" s="461"/>
      <c r="D919" s="461"/>
      <c r="E919" s="461"/>
      <c r="F919" s="457"/>
      <c r="G919" s="458">
        <f t="shared" si="62"/>
        <v>0</v>
      </c>
      <c r="H919" s="457"/>
      <c r="I919" s="461"/>
      <c r="J919" s="459">
        <f t="shared" si="61"/>
        <v>0</v>
      </c>
      <c r="K919" s="460"/>
      <c r="M919">
        <f t="shared" si="60"/>
        <v>0</v>
      </c>
      <c r="N919" s="415"/>
      <c r="O919" s="415"/>
    </row>
    <row r="920" customFormat="1" ht="20" hidden="1" customHeight="1" spans="1:15">
      <c r="A920" s="440">
        <v>2140203</v>
      </c>
      <c r="B920" s="239" t="s">
        <v>733</v>
      </c>
      <c r="C920" s="461">
        <v>0</v>
      </c>
      <c r="D920" s="461"/>
      <c r="E920" s="461">
        <v>0</v>
      </c>
      <c r="F920" s="457"/>
      <c r="G920" s="458">
        <f t="shared" si="62"/>
        <v>0</v>
      </c>
      <c r="H920" s="457"/>
      <c r="I920" s="461"/>
      <c r="J920" s="459">
        <f t="shared" si="61"/>
        <v>0</v>
      </c>
      <c r="K920" s="460"/>
      <c r="M920">
        <f t="shared" si="60"/>
        <v>0</v>
      </c>
      <c r="N920" s="415"/>
      <c r="O920" s="415"/>
    </row>
    <row r="921" customFormat="1" ht="20" hidden="1" customHeight="1" spans="1:15">
      <c r="A921" s="440">
        <v>2140204</v>
      </c>
      <c r="B921" s="239" t="s">
        <v>860</v>
      </c>
      <c r="C921" s="461">
        <v>0</v>
      </c>
      <c r="D921" s="461"/>
      <c r="E921" s="461">
        <v>0</v>
      </c>
      <c r="F921" s="457"/>
      <c r="G921" s="458">
        <f t="shared" si="62"/>
        <v>0</v>
      </c>
      <c r="H921" s="457"/>
      <c r="I921" s="461"/>
      <c r="J921" s="459">
        <f t="shared" si="61"/>
        <v>0</v>
      </c>
      <c r="K921" s="460"/>
      <c r="M921">
        <f t="shared" si="60"/>
        <v>0</v>
      </c>
      <c r="N921" s="415"/>
      <c r="O921" s="415"/>
    </row>
    <row r="922" customFormat="1" ht="20" hidden="1" customHeight="1" spans="1:15">
      <c r="A922" s="440">
        <v>2140205</v>
      </c>
      <c r="B922" s="239" t="s">
        <v>861</v>
      </c>
      <c r="C922" s="461">
        <v>0</v>
      </c>
      <c r="D922" s="461"/>
      <c r="E922" s="461">
        <v>0</v>
      </c>
      <c r="F922" s="457"/>
      <c r="G922" s="458">
        <f t="shared" si="62"/>
        <v>0</v>
      </c>
      <c r="H922" s="457"/>
      <c r="I922" s="461"/>
      <c r="J922" s="459">
        <f t="shared" si="61"/>
        <v>0</v>
      </c>
      <c r="K922" s="460"/>
      <c r="M922">
        <f t="shared" si="60"/>
        <v>0</v>
      </c>
      <c r="N922" s="415"/>
      <c r="O922" s="415"/>
    </row>
    <row r="923" customFormat="1" ht="20" hidden="1" customHeight="1" spans="1:15">
      <c r="A923" s="440">
        <v>2140206</v>
      </c>
      <c r="B923" s="239" t="s">
        <v>862</v>
      </c>
      <c r="C923" s="461">
        <v>0</v>
      </c>
      <c r="D923" s="461"/>
      <c r="E923" s="461">
        <v>0</v>
      </c>
      <c r="F923" s="457"/>
      <c r="G923" s="458">
        <f t="shared" si="62"/>
        <v>0</v>
      </c>
      <c r="H923" s="457"/>
      <c r="I923" s="461"/>
      <c r="J923" s="459">
        <f t="shared" si="61"/>
        <v>0</v>
      </c>
      <c r="K923" s="460"/>
      <c r="M923">
        <f t="shared" si="60"/>
        <v>0</v>
      </c>
      <c r="N923" s="415"/>
      <c r="O923" s="415"/>
    </row>
    <row r="924" customFormat="1" ht="20" hidden="1" customHeight="1" spans="1:15">
      <c r="A924" s="440">
        <v>2140207</v>
      </c>
      <c r="B924" s="239" t="s">
        <v>863</v>
      </c>
      <c r="C924" s="461">
        <v>0</v>
      </c>
      <c r="D924" s="461"/>
      <c r="E924" s="461">
        <v>0</v>
      </c>
      <c r="F924" s="457"/>
      <c r="G924" s="458">
        <f t="shared" si="62"/>
        <v>0</v>
      </c>
      <c r="H924" s="457"/>
      <c r="I924" s="461"/>
      <c r="J924" s="459">
        <f t="shared" si="61"/>
        <v>0</v>
      </c>
      <c r="K924" s="460"/>
      <c r="M924">
        <f t="shared" si="60"/>
        <v>0</v>
      </c>
      <c r="N924" s="415"/>
      <c r="O924" s="415"/>
    </row>
    <row r="925" customFormat="1" ht="20" hidden="1" customHeight="1" spans="1:15">
      <c r="A925" s="440">
        <v>2140208</v>
      </c>
      <c r="B925" s="239" t="s">
        <v>864</v>
      </c>
      <c r="C925" s="461">
        <v>0</v>
      </c>
      <c r="D925" s="461"/>
      <c r="E925" s="461">
        <v>0</v>
      </c>
      <c r="F925" s="457"/>
      <c r="G925" s="458">
        <f t="shared" si="62"/>
        <v>0</v>
      </c>
      <c r="H925" s="457"/>
      <c r="I925" s="461"/>
      <c r="J925" s="459">
        <f t="shared" si="61"/>
        <v>0</v>
      </c>
      <c r="K925" s="460"/>
      <c r="M925">
        <f t="shared" ref="M925:M943" si="63">N925+O925</f>
        <v>0</v>
      </c>
      <c r="N925" s="415"/>
      <c r="O925" s="415"/>
    </row>
    <row r="926" customFormat="1" ht="20" hidden="1" customHeight="1" spans="1:15">
      <c r="A926" s="440">
        <v>2140299</v>
      </c>
      <c r="B926" s="239" t="s">
        <v>865</v>
      </c>
      <c r="C926" s="461">
        <v>0</v>
      </c>
      <c r="D926" s="461"/>
      <c r="E926" s="461">
        <v>0</v>
      </c>
      <c r="F926" s="457"/>
      <c r="G926" s="458">
        <f t="shared" si="62"/>
        <v>0</v>
      </c>
      <c r="H926" s="457"/>
      <c r="I926" s="461"/>
      <c r="J926" s="459">
        <f t="shared" si="61"/>
        <v>0</v>
      </c>
      <c r="K926" s="460"/>
      <c r="M926">
        <f t="shared" si="63"/>
        <v>0</v>
      </c>
      <c r="N926" s="415"/>
      <c r="O926" s="415"/>
    </row>
    <row r="927" customFormat="1" ht="20" hidden="1" customHeight="1" spans="1:15">
      <c r="A927" s="437">
        <v>21403</v>
      </c>
      <c r="B927" s="427" t="s">
        <v>866</v>
      </c>
      <c r="C927" s="461">
        <v>0</v>
      </c>
      <c r="D927" s="461"/>
      <c r="E927" s="461">
        <v>0</v>
      </c>
      <c r="F927" s="457"/>
      <c r="G927" s="458">
        <f t="shared" si="62"/>
        <v>0</v>
      </c>
      <c r="H927" s="457"/>
      <c r="I927" s="461"/>
      <c r="J927" s="459">
        <f t="shared" si="61"/>
        <v>0</v>
      </c>
      <c r="K927" s="460"/>
      <c r="M927">
        <f t="shared" si="63"/>
        <v>0</v>
      </c>
      <c r="N927" s="415"/>
      <c r="O927" s="415"/>
    </row>
    <row r="928" customFormat="1" ht="20" hidden="1" customHeight="1" spans="1:15">
      <c r="A928" s="440">
        <v>2140301</v>
      </c>
      <c r="B928" s="239" t="s">
        <v>731</v>
      </c>
      <c r="C928" s="461">
        <v>0</v>
      </c>
      <c r="D928" s="461"/>
      <c r="E928" s="461">
        <v>0</v>
      </c>
      <c r="F928" s="457"/>
      <c r="G928" s="458">
        <f t="shared" si="62"/>
        <v>0</v>
      </c>
      <c r="H928" s="457"/>
      <c r="I928" s="461"/>
      <c r="J928" s="459">
        <f t="shared" si="61"/>
        <v>0</v>
      </c>
      <c r="K928" s="460"/>
      <c r="M928">
        <f t="shared" si="63"/>
        <v>0</v>
      </c>
      <c r="N928" s="415"/>
      <c r="O928" s="415"/>
    </row>
    <row r="929" customFormat="1" ht="20" hidden="1" customHeight="1" spans="1:15">
      <c r="A929" s="440">
        <v>2140302</v>
      </c>
      <c r="B929" s="239" t="s">
        <v>732</v>
      </c>
      <c r="C929" s="461">
        <v>0</v>
      </c>
      <c r="D929" s="461"/>
      <c r="E929" s="461">
        <v>0</v>
      </c>
      <c r="F929" s="457"/>
      <c r="G929" s="458">
        <f t="shared" si="62"/>
        <v>0</v>
      </c>
      <c r="H929" s="457"/>
      <c r="I929" s="461"/>
      <c r="J929" s="459">
        <f t="shared" si="61"/>
        <v>0</v>
      </c>
      <c r="K929" s="460"/>
      <c r="M929">
        <f t="shared" si="63"/>
        <v>0</v>
      </c>
      <c r="N929" s="415"/>
      <c r="O929" s="415"/>
    </row>
    <row r="930" customFormat="1" ht="20" hidden="1" customHeight="1" spans="1:15">
      <c r="A930" s="440">
        <v>2140303</v>
      </c>
      <c r="B930" s="239" t="s">
        <v>733</v>
      </c>
      <c r="C930" s="461">
        <v>0</v>
      </c>
      <c r="D930" s="461"/>
      <c r="E930" s="461">
        <v>0</v>
      </c>
      <c r="F930" s="457"/>
      <c r="G930" s="458">
        <f t="shared" si="62"/>
        <v>0</v>
      </c>
      <c r="H930" s="457"/>
      <c r="I930" s="461"/>
      <c r="J930" s="459">
        <f t="shared" si="61"/>
        <v>0</v>
      </c>
      <c r="K930" s="460"/>
      <c r="M930">
        <f t="shared" si="63"/>
        <v>0</v>
      </c>
      <c r="N930" s="415"/>
      <c r="O930" s="415"/>
    </row>
    <row r="931" customFormat="1" ht="20" hidden="1" customHeight="1" spans="1:15">
      <c r="A931" s="440">
        <v>2140304</v>
      </c>
      <c r="B931" s="239" t="s">
        <v>867</v>
      </c>
      <c r="C931" s="461">
        <v>0</v>
      </c>
      <c r="D931" s="461"/>
      <c r="E931" s="461">
        <v>0</v>
      </c>
      <c r="F931" s="457"/>
      <c r="G931" s="458">
        <f t="shared" si="62"/>
        <v>0</v>
      </c>
      <c r="H931" s="457"/>
      <c r="I931" s="461"/>
      <c r="J931" s="459">
        <f t="shared" si="61"/>
        <v>0</v>
      </c>
      <c r="K931" s="460"/>
      <c r="M931">
        <f t="shared" si="63"/>
        <v>0</v>
      </c>
      <c r="N931" s="415"/>
      <c r="O931" s="415"/>
    </row>
    <row r="932" customFormat="1" ht="20" hidden="1" customHeight="1" spans="1:15">
      <c r="A932" s="440">
        <v>2140305</v>
      </c>
      <c r="B932" s="239" t="s">
        <v>868</v>
      </c>
      <c r="C932" s="461">
        <v>0</v>
      </c>
      <c r="D932" s="461"/>
      <c r="E932" s="461">
        <v>0</v>
      </c>
      <c r="F932" s="457"/>
      <c r="G932" s="458">
        <f t="shared" si="62"/>
        <v>0</v>
      </c>
      <c r="H932" s="457"/>
      <c r="I932" s="461"/>
      <c r="J932" s="459">
        <f t="shared" si="61"/>
        <v>0</v>
      </c>
      <c r="K932" s="460"/>
      <c r="M932">
        <f t="shared" si="63"/>
        <v>0</v>
      </c>
      <c r="N932" s="415"/>
      <c r="O932" s="415"/>
    </row>
    <row r="933" customFormat="1" ht="20" hidden="1" customHeight="1" spans="1:15">
      <c r="A933" s="440">
        <v>2140306</v>
      </c>
      <c r="B933" s="239" t="s">
        <v>869</v>
      </c>
      <c r="C933" s="461">
        <v>0</v>
      </c>
      <c r="D933" s="461"/>
      <c r="E933" s="461">
        <v>0</v>
      </c>
      <c r="F933" s="457"/>
      <c r="G933" s="458">
        <f t="shared" si="62"/>
        <v>0</v>
      </c>
      <c r="H933" s="457"/>
      <c r="I933" s="461"/>
      <c r="J933" s="459">
        <f t="shared" si="61"/>
        <v>0</v>
      </c>
      <c r="K933" s="460"/>
      <c r="M933">
        <f t="shared" si="63"/>
        <v>0</v>
      </c>
      <c r="N933" s="415"/>
      <c r="O933" s="415"/>
    </row>
    <row r="934" customFormat="1" ht="20" hidden="1" customHeight="1" spans="1:15">
      <c r="A934" s="440">
        <v>2140307</v>
      </c>
      <c r="B934" s="239" t="s">
        <v>870</v>
      </c>
      <c r="C934" s="461">
        <v>0</v>
      </c>
      <c r="D934" s="461"/>
      <c r="E934" s="461">
        <v>0</v>
      </c>
      <c r="F934" s="457"/>
      <c r="G934" s="458">
        <f t="shared" si="62"/>
        <v>0</v>
      </c>
      <c r="H934" s="457"/>
      <c r="I934" s="461"/>
      <c r="J934" s="459">
        <f t="shared" si="61"/>
        <v>0</v>
      </c>
      <c r="K934" s="460"/>
      <c r="M934">
        <f t="shared" si="63"/>
        <v>0</v>
      </c>
      <c r="N934" s="415"/>
      <c r="O934" s="415"/>
    </row>
    <row r="935" customFormat="1" ht="20" hidden="1" customHeight="1" spans="1:15">
      <c r="A935" s="440">
        <v>2140308</v>
      </c>
      <c r="B935" s="239" t="s">
        <v>871</v>
      </c>
      <c r="C935" s="461">
        <v>0</v>
      </c>
      <c r="D935" s="461"/>
      <c r="E935" s="461">
        <v>0</v>
      </c>
      <c r="F935" s="457"/>
      <c r="G935" s="458">
        <f t="shared" si="62"/>
        <v>0</v>
      </c>
      <c r="H935" s="457"/>
      <c r="I935" s="461"/>
      <c r="J935" s="459">
        <f t="shared" si="61"/>
        <v>0</v>
      </c>
      <c r="K935" s="460"/>
      <c r="M935">
        <f t="shared" si="63"/>
        <v>0</v>
      </c>
      <c r="N935" s="415"/>
      <c r="O935" s="415"/>
    </row>
    <row r="936" customFormat="1" ht="20" hidden="1" customHeight="1" spans="1:15">
      <c r="A936" s="440">
        <v>2140399</v>
      </c>
      <c r="B936" s="239" t="s">
        <v>872</v>
      </c>
      <c r="C936" s="461">
        <v>0</v>
      </c>
      <c r="D936" s="461"/>
      <c r="E936" s="461">
        <v>0</v>
      </c>
      <c r="F936" s="457"/>
      <c r="G936" s="458">
        <f t="shared" si="62"/>
        <v>0</v>
      </c>
      <c r="H936" s="457"/>
      <c r="I936" s="461"/>
      <c r="J936" s="459">
        <f t="shared" si="61"/>
        <v>0</v>
      </c>
      <c r="K936" s="460"/>
      <c r="M936">
        <f t="shared" si="63"/>
        <v>0</v>
      </c>
      <c r="N936" s="415"/>
      <c r="O936" s="415"/>
    </row>
    <row r="937" customFormat="1" ht="20" hidden="1" customHeight="1" spans="1:15">
      <c r="A937" s="437">
        <v>21405</v>
      </c>
      <c r="B937" s="427" t="s">
        <v>873</v>
      </c>
      <c r="C937" s="461">
        <v>0</v>
      </c>
      <c r="D937" s="461"/>
      <c r="E937" s="461">
        <v>0</v>
      </c>
      <c r="F937" s="457"/>
      <c r="G937" s="458">
        <f t="shared" si="62"/>
        <v>0</v>
      </c>
      <c r="H937" s="457"/>
      <c r="I937" s="461"/>
      <c r="J937" s="459">
        <f t="shared" si="61"/>
        <v>0</v>
      </c>
      <c r="K937" s="460"/>
      <c r="M937">
        <f t="shared" si="63"/>
        <v>0</v>
      </c>
      <c r="N937" s="415"/>
      <c r="O937" s="415"/>
    </row>
    <row r="938" customFormat="1" ht="20" hidden="1" customHeight="1" spans="1:15">
      <c r="A938" s="440">
        <v>2140501</v>
      </c>
      <c r="B938" s="239" t="s">
        <v>731</v>
      </c>
      <c r="C938" s="461">
        <v>0</v>
      </c>
      <c r="D938" s="461"/>
      <c r="E938" s="461">
        <v>0</v>
      </c>
      <c r="F938" s="457"/>
      <c r="G938" s="458">
        <f t="shared" si="62"/>
        <v>0</v>
      </c>
      <c r="H938" s="457"/>
      <c r="I938" s="461"/>
      <c r="J938" s="459">
        <f t="shared" si="61"/>
        <v>0</v>
      </c>
      <c r="K938" s="460"/>
      <c r="M938">
        <f t="shared" si="63"/>
        <v>0</v>
      </c>
      <c r="N938" s="415"/>
      <c r="O938" s="415"/>
    </row>
    <row r="939" customFormat="1" ht="20" hidden="1" customHeight="1" spans="1:15">
      <c r="A939" s="440">
        <v>2140502</v>
      </c>
      <c r="B939" s="239" t="s">
        <v>732</v>
      </c>
      <c r="C939" s="461">
        <v>0</v>
      </c>
      <c r="D939" s="461"/>
      <c r="E939" s="461">
        <v>0</v>
      </c>
      <c r="F939" s="457"/>
      <c r="G939" s="458">
        <f t="shared" si="62"/>
        <v>0</v>
      </c>
      <c r="H939" s="457"/>
      <c r="I939" s="461"/>
      <c r="J939" s="459">
        <f t="shared" si="61"/>
        <v>0</v>
      </c>
      <c r="K939" s="460"/>
      <c r="M939">
        <f t="shared" si="63"/>
        <v>0</v>
      </c>
      <c r="N939" s="415"/>
      <c r="O939" s="415"/>
    </row>
    <row r="940" customFormat="1" ht="20" hidden="1" customHeight="1" spans="1:15">
      <c r="A940" s="440">
        <v>2140503</v>
      </c>
      <c r="B940" s="239" t="s">
        <v>733</v>
      </c>
      <c r="C940" s="461">
        <v>0</v>
      </c>
      <c r="D940" s="461"/>
      <c r="E940" s="461">
        <v>0</v>
      </c>
      <c r="F940" s="457"/>
      <c r="G940" s="458">
        <f t="shared" si="62"/>
        <v>0</v>
      </c>
      <c r="H940" s="457"/>
      <c r="I940" s="461"/>
      <c r="J940" s="459">
        <f t="shared" si="61"/>
        <v>0</v>
      </c>
      <c r="K940" s="460"/>
      <c r="M940">
        <f t="shared" si="63"/>
        <v>0</v>
      </c>
      <c r="N940" s="415"/>
      <c r="O940" s="415"/>
    </row>
    <row r="941" customFormat="1" ht="20" hidden="1" customHeight="1" spans="1:15">
      <c r="A941" s="440">
        <v>2140504</v>
      </c>
      <c r="B941" s="239" t="s">
        <v>864</v>
      </c>
      <c r="C941" s="461">
        <v>0</v>
      </c>
      <c r="D941" s="461"/>
      <c r="E941" s="461">
        <v>0</v>
      </c>
      <c r="F941" s="457"/>
      <c r="G941" s="458">
        <f t="shared" si="62"/>
        <v>0</v>
      </c>
      <c r="H941" s="457"/>
      <c r="I941" s="461"/>
      <c r="J941" s="459">
        <f t="shared" si="61"/>
        <v>0</v>
      </c>
      <c r="K941" s="460"/>
      <c r="M941">
        <f t="shared" si="63"/>
        <v>0</v>
      </c>
      <c r="N941" s="415"/>
      <c r="O941" s="415"/>
    </row>
    <row r="942" customFormat="1" ht="20" hidden="1" customHeight="1" spans="1:15">
      <c r="A942" s="440">
        <v>2140505</v>
      </c>
      <c r="B942" s="239" t="s">
        <v>874</v>
      </c>
      <c r="C942" s="461">
        <v>0</v>
      </c>
      <c r="D942" s="461"/>
      <c r="E942" s="461">
        <v>0</v>
      </c>
      <c r="F942" s="457"/>
      <c r="G942" s="458">
        <f t="shared" si="62"/>
        <v>0</v>
      </c>
      <c r="H942" s="457"/>
      <c r="I942" s="461"/>
      <c r="J942" s="459">
        <f t="shared" si="61"/>
        <v>0</v>
      </c>
      <c r="K942" s="460"/>
      <c r="M942">
        <f t="shared" si="63"/>
        <v>0</v>
      </c>
      <c r="N942" s="415"/>
      <c r="O942" s="415"/>
    </row>
    <row r="943" customFormat="1" ht="20" hidden="1" customHeight="1" spans="1:15">
      <c r="A943" s="440">
        <v>2140599</v>
      </c>
      <c r="B943" s="239" t="s">
        <v>875</v>
      </c>
      <c r="C943" s="461">
        <v>0</v>
      </c>
      <c r="D943" s="461"/>
      <c r="E943" s="461">
        <v>0</v>
      </c>
      <c r="F943" s="457"/>
      <c r="G943" s="458">
        <f t="shared" si="62"/>
        <v>0</v>
      </c>
      <c r="H943" s="457"/>
      <c r="I943" s="461"/>
      <c r="J943" s="459">
        <f t="shared" si="61"/>
        <v>0</v>
      </c>
      <c r="K943" s="460"/>
      <c r="M943">
        <f t="shared" si="63"/>
        <v>0</v>
      </c>
      <c r="N943" s="415"/>
      <c r="O943" s="415"/>
    </row>
    <row r="944" customFormat="1" ht="20" hidden="1" customHeight="1" spans="1:15">
      <c r="A944" s="440">
        <v>21406</v>
      </c>
      <c r="B944" s="427" t="s">
        <v>876</v>
      </c>
      <c r="C944" s="461"/>
      <c r="D944" s="461"/>
      <c r="E944" s="461"/>
      <c r="F944" s="457"/>
      <c r="G944" s="458">
        <f t="shared" si="62"/>
        <v>0</v>
      </c>
      <c r="H944" s="457"/>
      <c r="I944" s="461"/>
      <c r="J944" s="459">
        <f t="shared" si="61"/>
        <v>0</v>
      </c>
      <c r="K944" s="460"/>
      <c r="N944" s="415"/>
      <c r="O944" s="415"/>
    </row>
    <row r="945" customFormat="1" ht="20" hidden="1" customHeight="1" spans="1:17">
      <c r="A945" s="440">
        <v>2140601</v>
      </c>
      <c r="B945" s="441" t="s">
        <v>877</v>
      </c>
      <c r="C945" s="461"/>
      <c r="D945" s="461"/>
      <c r="E945" s="461"/>
      <c r="F945" s="457"/>
      <c r="G945" s="458">
        <f t="shared" si="62"/>
        <v>0</v>
      </c>
      <c r="H945" s="457"/>
      <c r="I945" s="461"/>
      <c r="J945" s="459">
        <f t="shared" si="61"/>
        <v>0</v>
      </c>
      <c r="K945" s="460"/>
      <c r="N945" s="415"/>
      <c r="O945" s="415"/>
    </row>
    <row r="946" customFormat="1" ht="20" hidden="1" customHeight="1" spans="1:17">
      <c r="A946" s="440">
        <v>2140602</v>
      </c>
      <c r="B946" s="441" t="s">
        <v>878</v>
      </c>
      <c r="C946" s="461"/>
      <c r="D946" s="461"/>
      <c r="E946" s="461"/>
      <c r="F946" s="457"/>
      <c r="G946" s="458">
        <f t="shared" si="62"/>
        <v>0</v>
      </c>
      <c r="H946" s="457"/>
      <c r="I946" s="461"/>
      <c r="J946" s="459">
        <f t="shared" si="61"/>
        <v>0</v>
      </c>
      <c r="K946" s="460"/>
      <c r="N946" s="415"/>
      <c r="O946" s="415"/>
    </row>
    <row r="947" customFormat="1" ht="20" hidden="1" customHeight="1" spans="1:17">
      <c r="A947" s="440">
        <v>2140603</v>
      </c>
      <c r="B947" s="441" t="s">
        <v>879</v>
      </c>
      <c r="C947" s="461"/>
      <c r="D947" s="461"/>
      <c r="E947" s="461"/>
      <c r="F947" s="457"/>
      <c r="G947" s="458">
        <f t="shared" si="62"/>
        <v>0</v>
      </c>
      <c r="H947" s="457"/>
      <c r="I947" s="461"/>
      <c r="J947" s="459">
        <f t="shared" si="61"/>
        <v>0</v>
      </c>
      <c r="K947" s="460"/>
      <c r="N947" s="415"/>
      <c r="O947" s="415"/>
    </row>
    <row r="948" customFormat="1" ht="20" hidden="1" customHeight="1" spans="1:17">
      <c r="A948" s="440">
        <v>2140699</v>
      </c>
      <c r="B948" s="441" t="s">
        <v>880</v>
      </c>
      <c r="C948" s="461"/>
      <c r="D948" s="461"/>
      <c r="E948" s="461"/>
      <c r="F948" s="457"/>
      <c r="G948" s="458">
        <f t="shared" si="62"/>
        <v>0</v>
      </c>
      <c r="H948" s="457"/>
      <c r="I948" s="461"/>
      <c r="J948" s="459">
        <f t="shared" si="61"/>
        <v>0</v>
      </c>
      <c r="K948" s="460"/>
      <c r="N948" s="415"/>
      <c r="O948" s="415"/>
    </row>
    <row r="949" customFormat="1" ht="20" hidden="1" customHeight="1" spans="1:17">
      <c r="A949" s="437">
        <v>21499</v>
      </c>
      <c r="B949" s="427" t="s">
        <v>881</v>
      </c>
      <c r="C949" s="470">
        <f>SUM(C950:C951)</f>
        <v>141.251282</v>
      </c>
      <c r="D949" s="470">
        <f>SUM(D950:D951)</f>
        <v>0</v>
      </c>
      <c r="E949" s="470">
        <f>SUM(E950:E951)</f>
        <v>0</v>
      </c>
      <c r="F949" s="457"/>
      <c r="G949" s="458">
        <f t="shared" si="62"/>
        <v>-141.251282</v>
      </c>
      <c r="H949" s="457">
        <f>G949/C949*100</f>
        <v>-100</v>
      </c>
      <c r="I949" s="470">
        <f>SUM(I950:I951)</f>
        <v>0</v>
      </c>
      <c r="J949" s="459">
        <f t="shared" si="61"/>
        <v>0</v>
      </c>
      <c r="K949" s="460"/>
      <c r="M949">
        <f t="shared" ref="M949:M1012" si="64">N949+O949</f>
        <v>0</v>
      </c>
      <c r="N949" s="415"/>
      <c r="O949" s="415"/>
    </row>
    <row r="950" customFormat="1" ht="20" hidden="1" customHeight="1" spans="1:17">
      <c r="A950" s="440">
        <v>2149901</v>
      </c>
      <c r="B950" s="239" t="s">
        <v>882</v>
      </c>
      <c r="C950" s="464">
        <v>0</v>
      </c>
      <c r="D950" s="461"/>
      <c r="E950" s="464">
        <v>0</v>
      </c>
      <c r="F950" s="457"/>
      <c r="G950" s="458">
        <f t="shared" si="62"/>
        <v>0</v>
      </c>
      <c r="H950" s="457"/>
      <c r="I950" s="461"/>
      <c r="J950" s="459">
        <f t="shared" si="61"/>
        <v>0</v>
      </c>
      <c r="K950" s="460"/>
      <c r="M950">
        <f t="shared" si="64"/>
        <v>0</v>
      </c>
      <c r="N950" s="415"/>
      <c r="O950" s="415"/>
      <c r="Q950">
        <v>12</v>
      </c>
    </row>
    <row r="951" customFormat="1" ht="20" hidden="1" customHeight="1" spans="1:17">
      <c r="A951" s="440">
        <v>2149999</v>
      </c>
      <c r="B951" s="239" t="s">
        <v>883</v>
      </c>
      <c r="C951" s="464">
        <v>141.251282</v>
      </c>
      <c r="D951" s="461"/>
      <c r="E951" s="464"/>
      <c r="F951" s="457"/>
      <c r="G951" s="458">
        <f t="shared" si="62"/>
        <v>-141.251282</v>
      </c>
      <c r="H951" s="457">
        <f>G951/C951*100</f>
        <v>-100</v>
      </c>
      <c r="I951" s="461"/>
      <c r="J951" s="459">
        <f t="shared" si="61"/>
        <v>0</v>
      </c>
      <c r="K951" s="460"/>
      <c r="M951">
        <f t="shared" si="64"/>
        <v>0</v>
      </c>
      <c r="N951" s="415"/>
      <c r="O951" s="415"/>
      <c r="Q951">
        <v>428</v>
      </c>
    </row>
    <row r="952" s="278" customFormat="1" ht="20" customHeight="1" spans="1:17">
      <c r="A952" s="412">
        <v>215</v>
      </c>
      <c r="B952" s="413" t="s">
        <v>884</v>
      </c>
      <c r="C952" s="346">
        <f>SUM(C953:C1013)/2</f>
        <v>1792.83</v>
      </c>
      <c r="D952" s="346">
        <f>SUM(D953:D1013)/2</f>
        <v>450</v>
      </c>
      <c r="E952" s="346">
        <f>SUM(E953:E1013)/2</f>
        <v>1114</v>
      </c>
      <c r="F952" s="414">
        <f>E952/D952*100</f>
        <v>247.555555555556</v>
      </c>
      <c r="G952" s="346">
        <f t="shared" si="62"/>
        <v>-678.83</v>
      </c>
      <c r="H952" s="414">
        <f>G952/C952*100</f>
        <v>-37.8636011222481</v>
      </c>
      <c r="I952" s="346">
        <f>SUM(I953:I1013)/2</f>
        <v>2509</v>
      </c>
      <c r="J952" s="307">
        <f t="shared" si="61"/>
        <v>2059</v>
      </c>
      <c r="K952" s="306">
        <f>J952/D952*100</f>
        <v>457.555555555556</v>
      </c>
      <c r="M952" s="278">
        <f t="shared" si="64"/>
        <v>0</v>
      </c>
      <c r="N952" s="415"/>
      <c r="O952" s="415"/>
    </row>
    <row r="953" customFormat="1" ht="20" hidden="1" customHeight="1" spans="1:17">
      <c r="A953" s="437">
        <v>21501</v>
      </c>
      <c r="B953" s="427" t="s">
        <v>885</v>
      </c>
      <c r="C953" s="461">
        <v>0</v>
      </c>
      <c r="D953" s="461"/>
      <c r="E953" s="461">
        <v>0</v>
      </c>
      <c r="F953" s="457"/>
      <c r="G953" s="458">
        <f t="shared" si="62"/>
        <v>0</v>
      </c>
      <c r="H953" s="457"/>
      <c r="I953" s="461">
        <f>SUM(I954:I962)</f>
        <v>2389</v>
      </c>
      <c r="J953" s="459">
        <f t="shared" si="61"/>
        <v>2389</v>
      </c>
      <c r="K953" s="460"/>
      <c r="M953">
        <f t="shared" si="64"/>
        <v>0</v>
      </c>
      <c r="N953" s="415"/>
      <c r="O953" s="415"/>
    </row>
    <row r="954" customFormat="1" ht="20" hidden="1" customHeight="1" spans="1:17">
      <c r="A954" s="440">
        <v>2150101</v>
      </c>
      <c r="B954" s="239" t="s">
        <v>731</v>
      </c>
      <c r="C954" s="461">
        <v>0</v>
      </c>
      <c r="D954" s="461"/>
      <c r="E954" s="461">
        <v>0</v>
      </c>
      <c r="F954" s="457"/>
      <c r="G954" s="458">
        <f t="shared" si="62"/>
        <v>0</v>
      </c>
      <c r="H954" s="457"/>
      <c r="I954" s="461"/>
      <c r="J954" s="459">
        <f t="shared" si="61"/>
        <v>0</v>
      </c>
      <c r="K954" s="460"/>
      <c r="M954">
        <f t="shared" si="64"/>
        <v>0</v>
      </c>
      <c r="N954" s="415"/>
      <c r="O954" s="415"/>
    </row>
    <row r="955" customFormat="1" ht="20" hidden="1" customHeight="1" spans="1:17">
      <c r="A955" s="440">
        <v>2150102</v>
      </c>
      <c r="B955" s="239" t="s">
        <v>732</v>
      </c>
      <c r="C955" s="461">
        <v>0</v>
      </c>
      <c r="D955" s="461"/>
      <c r="E955" s="461">
        <v>0</v>
      </c>
      <c r="F955" s="457"/>
      <c r="G955" s="458">
        <f t="shared" si="62"/>
        <v>0</v>
      </c>
      <c r="H955" s="457"/>
      <c r="I955" s="461"/>
      <c r="J955" s="459">
        <f t="shared" si="61"/>
        <v>0</v>
      </c>
      <c r="K955" s="460"/>
      <c r="M955">
        <f t="shared" si="64"/>
        <v>0</v>
      </c>
      <c r="N955" s="415"/>
      <c r="O955" s="415"/>
    </row>
    <row r="956" customFormat="1" ht="20" hidden="1" customHeight="1" spans="1:17">
      <c r="A956" s="440">
        <v>2150103</v>
      </c>
      <c r="B956" s="239" t="s">
        <v>733</v>
      </c>
      <c r="C956" s="461">
        <v>0</v>
      </c>
      <c r="D956" s="461"/>
      <c r="E956" s="461">
        <v>0</v>
      </c>
      <c r="F956" s="457"/>
      <c r="G956" s="458">
        <f t="shared" si="62"/>
        <v>0</v>
      </c>
      <c r="H956" s="457"/>
      <c r="I956" s="461"/>
      <c r="J956" s="459">
        <f t="shared" si="61"/>
        <v>0</v>
      </c>
      <c r="K956" s="460"/>
      <c r="M956">
        <f t="shared" si="64"/>
        <v>0</v>
      </c>
      <c r="N956" s="415"/>
      <c r="O956" s="415"/>
    </row>
    <row r="957" customFormat="1" ht="20" hidden="1" customHeight="1" spans="1:17">
      <c r="A957" s="440">
        <v>2150104</v>
      </c>
      <c r="B957" s="239" t="s">
        <v>886</v>
      </c>
      <c r="C957" s="461">
        <v>0</v>
      </c>
      <c r="D957" s="461"/>
      <c r="E957" s="461">
        <v>0</v>
      </c>
      <c r="F957" s="457"/>
      <c r="G957" s="458">
        <f t="shared" si="62"/>
        <v>0</v>
      </c>
      <c r="H957" s="457"/>
      <c r="I957" s="461"/>
      <c r="J957" s="459">
        <f t="shared" si="61"/>
        <v>0</v>
      </c>
      <c r="K957" s="460"/>
      <c r="M957">
        <f t="shared" si="64"/>
        <v>0</v>
      </c>
      <c r="N957" s="415"/>
      <c r="O957" s="415"/>
    </row>
    <row r="958" customFormat="1" ht="20" hidden="1" customHeight="1" spans="1:17">
      <c r="A958" s="440">
        <v>2150105</v>
      </c>
      <c r="B958" s="239" t="s">
        <v>887</v>
      </c>
      <c r="C958" s="461">
        <v>0</v>
      </c>
      <c r="D958" s="461"/>
      <c r="E958" s="461">
        <v>0</v>
      </c>
      <c r="F958" s="457"/>
      <c r="G958" s="458">
        <f t="shared" si="62"/>
        <v>0</v>
      </c>
      <c r="H958" s="457"/>
      <c r="I958" s="461"/>
      <c r="J958" s="459">
        <f t="shared" si="61"/>
        <v>0</v>
      </c>
      <c r="K958" s="460"/>
      <c r="M958">
        <f t="shared" si="64"/>
        <v>0</v>
      </c>
      <c r="N958" s="415"/>
      <c r="O958" s="415"/>
    </row>
    <row r="959" customFormat="1" ht="20" hidden="1" customHeight="1" spans="1:17">
      <c r="A959" s="440">
        <v>2150106</v>
      </c>
      <c r="B959" s="239" t="s">
        <v>888</v>
      </c>
      <c r="C959" s="461">
        <v>0</v>
      </c>
      <c r="D959" s="461"/>
      <c r="E959" s="461">
        <v>0</v>
      </c>
      <c r="F959" s="457"/>
      <c r="G959" s="458">
        <f t="shared" si="62"/>
        <v>0</v>
      </c>
      <c r="H959" s="457"/>
      <c r="I959" s="461"/>
      <c r="J959" s="459">
        <f t="shared" si="61"/>
        <v>0</v>
      </c>
      <c r="K959" s="460"/>
      <c r="M959">
        <f t="shared" si="64"/>
        <v>0</v>
      </c>
      <c r="N959" s="415"/>
      <c r="O959" s="415"/>
    </row>
    <row r="960" customFormat="1" ht="20" hidden="1" customHeight="1" spans="1:17">
      <c r="A960" s="440">
        <v>2150107</v>
      </c>
      <c r="B960" s="239" t="s">
        <v>889</v>
      </c>
      <c r="C960" s="461">
        <v>0</v>
      </c>
      <c r="D960" s="461"/>
      <c r="E960" s="461">
        <v>0</v>
      </c>
      <c r="F960" s="457"/>
      <c r="G960" s="458">
        <f t="shared" si="62"/>
        <v>0</v>
      </c>
      <c r="H960" s="457"/>
      <c r="I960" s="461"/>
      <c r="J960" s="459">
        <f t="shared" si="61"/>
        <v>0</v>
      </c>
      <c r="K960" s="460"/>
      <c r="M960">
        <f t="shared" si="64"/>
        <v>0</v>
      </c>
      <c r="N960" s="415"/>
      <c r="O960" s="415"/>
    </row>
    <row r="961" customFormat="1" ht="20" hidden="1" customHeight="1" spans="1:15">
      <c r="A961" s="440">
        <v>2150108</v>
      </c>
      <c r="B961" s="239" t="s">
        <v>890</v>
      </c>
      <c r="C961" s="461">
        <v>0</v>
      </c>
      <c r="D961" s="461"/>
      <c r="E961" s="461">
        <v>0</v>
      </c>
      <c r="F961" s="457"/>
      <c r="G961" s="458">
        <f t="shared" si="62"/>
        <v>0</v>
      </c>
      <c r="H961" s="457"/>
      <c r="I961" s="461"/>
      <c r="J961" s="459">
        <f t="shared" si="61"/>
        <v>0</v>
      </c>
      <c r="K961" s="460"/>
      <c r="M961">
        <f t="shared" si="64"/>
        <v>0</v>
      </c>
      <c r="N961" s="415"/>
      <c r="O961" s="415"/>
    </row>
    <row r="962" customFormat="1" ht="20" hidden="1" customHeight="1" spans="1:15">
      <c r="A962" s="440">
        <v>2150199</v>
      </c>
      <c r="B962" s="239" t="s">
        <v>891</v>
      </c>
      <c r="C962" s="461">
        <v>0</v>
      </c>
      <c r="D962" s="461"/>
      <c r="E962" s="461">
        <v>0</v>
      </c>
      <c r="F962" s="457"/>
      <c r="G962" s="458">
        <f t="shared" si="62"/>
        <v>0</v>
      </c>
      <c r="H962" s="457"/>
      <c r="I962" s="461">
        <f>2650-261</f>
        <v>2389</v>
      </c>
      <c r="J962" s="459">
        <f t="shared" si="61"/>
        <v>2389</v>
      </c>
      <c r="K962" s="460"/>
      <c r="M962">
        <f t="shared" si="64"/>
        <v>0</v>
      </c>
      <c r="N962" s="415"/>
      <c r="O962" s="415"/>
    </row>
    <row r="963" customFormat="1" ht="20" hidden="1" customHeight="1" spans="1:15">
      <c r="A963" s="437">
        <v>21502</v>
      </c>
      <c r="B963" s="427" t="s">
        <v>892</v>
      </c>
      <c r="C963" s="461">
        <f>SUM(C964:C978)</f>
        <v>1732.83</v>
      </c>
      <c r="D963" s="461">
        <f>SUM(D964:D978)</f>
        <v>0</v>
      </c>
      <c r="E963" s="461">
        <f>SUM(E964:E978)</f>
        <v>929</v>
      </c>
      <c r="F963" s="457"/>
      <c r="G963" s="458">
        <f t="shared" si="62"/>
        <v>-803.83</v>
      </c>
      <c r="H963" s="457">
        <f>G963/C963*100</f>
        <v>-46.3882781346122</v>
      </c>
      <c r="I963" s="461">
        <f>SUM(I964:I978)</f>
        <v>120</v>
      </c>
      <c r="J963" s="459">
        <f t="shared" si="61"/>
        <v>120</v>
      </c>
      <c r="K963" s="460"/>
      <c r="M963">
        <f t="shared" si="64"/>
        <v>0</v>
      </c>
      <c r="N963" s="415"/>
      <c r="O963" s="415"/>
    </row>
    <row r="964" s="278" customFormat="1" ht="20" hidden="1" customHeight="1" spans="1:15">
      <c r="A964" s="438">
        <v>2150201</v>
      </c>
      <c r="B964" s="422" t="s">
        <v>731</v>
      </c>
      <c r="C964" s="474">
        <v>0</v>
      </c>
      <c r="D964" s="461"/>
      <c r="E964" s="474">
        <v>0</v>
      </c>
      <c r="F964" s="457"/>
      <c r="G964" s="458">
        <f t="shared" si="62"/>
        <v>0</v>
      </c>
      <c r="H964" s="457"/>
      <c r="I964" s="461"/>
      <c r="J964" s="459">
        <f t="shared" si="61"/>
        <v>0</v>
      </c>
      <c r="K964" s="460"/>
      <c r="M964" s="278">
        <f t="shared" si="64"/>
        <v>0</v>
      </c>
      <c r="N964" s="415"/>
      <c r="O964" s="415"/>
    </row>
    <row r="965" customFormat="1" ht="20" hidden="1" customHeight="1" spans="1:15">
      <c r="A965" s="438">
        <v>2150202</v>
      </c>
      <c r="B965" s="239" t="s">
        <v>732</v>
      </c>
      <c r="C965" s="464">
        <v>0</v>
      </c>
      <c r="D965" s="461"/>
      <c r="E965" s="464">
        <v>0</v>
      </c>
      <c r="F965" s="457"/>
      <c r="G965" s="458">
        <f t="shared" si="62"/>
        <v>0</v>
      </c>
      <c r="H965" s="457"/>
      <c r="I965" s="461"/>
      <c r="J965" s="459">
        <f t="shared" si="61"/>
        <v>0</v>
      </c>
      <c r="K965" s="460"/>
      <c r="M965">
        <f t="shared" si="64"/>
        <v>0</v>
      </c>
      <c r="N965" s="415"/>
      <c r="O965" s="415"/>
    </row>
    <row r="966" customFormat="1" ht="20" hidden="1" customHeight="1" spans="1:15">
      <c r="A966" s="438">
        <v>2150203</v>
      </c>
      <c r="B966" s="239" t="s">
        <v>733</v>
      </c>
      <c r="C966" s="464">
        <v>0</v>
      </c>
      <c r="D966" s="461"/>
      <c r="E966" s="464">
        <v>0</v>
      </c>
      <c r="F966" s="457"/>
      <c r="G966" s="458">
        <f t="shared" si="62"/>
        <v>0</v>
      </c>
      <c r="H966" s="457"/>
      <c r="I966" s="461"/>
      <c r="J966" s="459">
        <f t="shared" si="61"/>
        <v>0</v>
      </c>
      <c r="K966" s="460"/>
      <c r="M966">
        <f t="shared" si="64"/>
        <v>0</v>
      </c>
      <c r="N966" s="415"/>
      <c r="O966" s="415"/>
    </row>
    <row r="967" customFormat="1" ht="20" hidden="1" customHeight="1" spans="1:15">
      <c r="A967" s="438">
        <v>2150204</v>
      </c>
      <c r="B967" s="239" t="s">
        <v>893</v>
      </c>
      <c r="C967" s="464">
        <v>0</v>
      </c>
      <c r="D967" s="461"/>
      <c r="E967" s="464">
        <v>0</v>
      </c>
      <c r="F967" s="457"/>
      <c r="G967" s="458">
        <f t="shared" si="62"/>
        <v>0</v>
      </c>
      <c r="H967" s="457"/>
      <c r="I967" s="461"/>
      <c r="J967" s="459">
        <f t="shared" ref="J967:J1030" si="65">I967-D967</f>
        <v>0</v>
      </c>
      <c r="K967" s="460"/>
      <c r="M967">
        <f t="shared" si="64"/>
        <v>0</v>
      </c>
      <c r="N967" s="415"/>
      <c r="O967" s="415"/>
    </row>
    <row r="968" customFormat="1" ht="20" hidden="1" customHeight="1" spans="1:15">
      <c r="A968" s="438">
        <v>2150205</v>
      </c>
      <c r="B968" s="239" t="s">
        <v>894</v>
      </c>
      <c r="C968" s="464">
        <v>0</v>
      </c>
      <c r="D968" s="461"/>
      <c r="E968" s="464">
        <v>0</v>
      </c>
      <c r="F968" s="457"/>
      <c r="G968" s="458">
        <f t="shared" ref="G968:G1031" si="66">E968-C968</f>
        <v>0</v>
      </c>
      <c r="H968" s="457"/>
      <c r="I968" s="461"/>
      <c r="J968" s="459">
        <f t="shared" si="65"/>
        <v>0</v>
      </c>
      <c r="K968" s="460"/>
      <c r="M968">
        <f t="shared" si="64"/>
        <v>0</v>
      </c>
      <c r="N968" s="415"/>
      <c r="O968" s="415"/>
    </row>
    <row r="969" customFormat="1" ht="20" hidden="1" customHeight="1" spans="1:15">
      <c r="A969" s="438">
        <v>2150206</v>
      </c>
      <c r="B969" s="239" t="s">
        <v>895</v>
      </c>
      <c r="C969" s="464">
        <v>0</v>
      </c>
      <c r="D969" s="461"/>
      <c r="E969" s="464">
        <v>0</v>
      </c>
      <c r="F969" s="457"/>
      <c r="G969" s="458">
        <f t="shared" si="66"/>
        <v>0</v>
      </c>
      <c r="H969" s="457"/>
      <c r="I969" s="461"/>
      <c r="J969" s="459">
        <f t="shared" si="65"/>
        <v>0</v>
      </c>
      <c r="K969" s="460"/>
      <c r="M969">
        <f t="shared" si="64"/>
        <v>0</v>
      </c>
      <c r="N969" s="415"/>
      <c r="O969" s="415"/>
    </row>
    <row r="970" customFormat="1" ht="20" hidden="1" customHeight="1" spans="1:15">
      <c r="A970" s="438">
        <v>2150207</v>
      </c>
      <c r="B970" s="239" t="s">
        <v>896</v>
      </c>
      <c r="C970" s="464">
        <v>0</v>
      </c>
      <c r="D970" s="461"/>
      <c r="E970" s="464">
        <v>0</v>
      </c>
      <c r="F970" s="457"/>
      <c r="G970" s="458">
        <f t="shared" si="66"/>
        <v>0</v>
      </c>
      <c r="H970" s="457"/>
      <c r="I970" s="461"/>
      <c r="J970" s="459">
        <f t="shared" si="65"/>
        <v>0</v>
      </c>
      <c r="K970" s="460"/>
      <c r="M970">
        <f t="shared" si="64"/>
        <v>0</v>
      </c>
      <c r="N970" s="415"/>
      <c r="O970" s="415"/>
    </row>
    <row r="971" customFormat="1" ht="20" hidden="1" customHeight="1" spans="1:15">
      <c r="A971" s="438">
        <v>2150208</v>
      </c>
      <c r="B971" s="239" t="s">
        <v>897</v>
      </c>
      <c r="C971" s="464">
        <v>0</v>
      </c>
      <c r="D971" s="461"/>
      <c r="E971" s="464">
        <v>0</v>
      </c>
      <c r="F971" s="457"/>
      <c r="G971" s="458">
        <f t="shared" si="66"/>
        <v>0</v>
      </c>
      <c r="H971" s="457"/>
      <c r="I971" s="461"/>
      <c r="J971" s="459">
        <f t="shared" si="65"/>
        <v>0</v>
      </c>
      <c r="K971" s="460"/>
      <c r="M971">
        <f t="shared" si="64"/>
        <v>0</v>
      </c>
      <c r="N971" s="415"/>
      <c r="O971" s="415"/>
    </row>
    <row r="972" customFormat="1" ht="20" hidden="1" customHeight="1" spans="1:15">
      <c r="A972" s="438">
        <v>2150209</v>
      </c>
      <c r="B972" s="239" t="s">
        <v>898</v>
      </c>
      <c r="C972" s="464">
        <v>0</v>
      </c>
      <c r="D972" s="461"/>
      <c r="E972" s="464">
        <v>0</v>
      </c>
      <c r="F972" s="457"/>
      <c r="G972" s="458">
        <f t="shared" si="66"/>
        <v>0</v>
      </c>
      <c r="H972" s="457"/>
      <c r="I972" s="461"/>
      <c r="J972" s="459">
        <f t="shared" si="65"/>
        <v>0</v>
      </c>
      <c r="K972" s="460"/>
      <c r="M972">
        <f t="shared" si="64"/>
        <v>0</v>
      </c>
      <c r="N972" s="415"/>
      <c r="O972" s="415"/>
    </row>
    <row r="973" customFormat="1" ht="20" hidden="1" customHeight="1" spans="1:15">
      <c r="A973" s="438">
        <v>2150210</v>
      </c>
      <c r="B973" s="239" t="s">
        <v>899</v>
      </c>
      <c r="C973" s="464">
        <v>0</v>
      </c>
      <c r="D973" s="461"/>
      <c r="E973" s="464">
        <v>0</v>
      </c>
      <c r="F973" s="457"/>
      <c r="G973" s="458">
        <f t="shared" si="66"/>
        <v>0</v>
      </c>
      <c r="H973" s="457"/>
      <c r="I973" s="461"/>
      <c r="J973" s="459">
        <f t="shared" si="65"/>
        <v>0</v>
      </c>
      <c r="K973" s="460"/>
      <c r="M973">
        <f t="shared" si="64"/>
        <v>0</v>
      </c>
      <c r="N973" s="415"/>
      <c r="O973" s="415"/>
    </row>
    <row r="974" customFormat="1" ht="20" hidden="1" customHeight="1" spans="1:15">
      <c r="A974" s="438">
        <v>2150212</v>
      </c>
      <c r="B974" s="239" t="s">
        <v>900</v>
      </c>
      <c r="C974" s="464">
        <v>0</v>
      </c>
      <c r="D974" s="461"/>
      <c r="E974" s="464">
        <v>0</v>
      </c>
      <c r="F974" s="457"/>
      <c r="G974" s="458">
        <f t="shared" si="66"/>
        <v>0</v>
      </c>
      <c r="H974" s="457"/>
      <c r="I974" s="461"/>
      <c r="J974" s="459">
        <f t="shared" si="65"/>
        <v>0</v>
      </c>
      <c r="K974" s="460"/>
      <c r="M974">
        <f t="shared" si="64"/>
        <v>0</v>
      </c>
      <c r="N974" s="415"/>
      <c r="O974" s="415"/>
    </row>
    <row r="975" customFormat="1" ht="20" hidden="1" customHeight="1" spans="1:15">
      <c r="A975" s="438">
        <v>2150213</v>
      </c>
      <c r="B975" s="239" t="s">
        <v>901</v>
      </c>
      <c r="C975" s="464">
        <v>0</v>
      </c>
      <c r="D975" s="461"/>
      <c r="E975" s="464">
        <v>0</v>
      </c>
      <c r="F975" s="457"/>
      <c r="G975" s="458">
        <f t="shared" si="66"/>
        <v>0</v>
      </c>
      <c r="H975" s="457"/>
      <c r="I975" s="461"/>
      <c r="J975" s="459">
        <f t="shared" si="65"/>
        <v>0</v>
      </c>
      <c r="K975" s="460"/>
      <c r="M975">
        <f t="shared" si="64"/>
        <v>0</v>
      </c>
      <c r="N975" s="415"/>
      <c r="O975" s="415"/>
    </row>
    <row r="976" customFormat="1" ht="20" hidden="1" customHeight="1" spans="1:15">
      <c r="A976" s="438">
        <v>2150214</v>
      </c>
      <c r="B976" s="239" t="s">
        <v>902</v>
      </c>
      <c r="C976" s="464">
        <v>0</v>
      </c>
      <c r="D976" s="461"/>
      <c r="E976" s="464">
        <v>0</v>
      </c>
      <c r="F976" s="457"/>
      <c r="G976" s="458">
        <f t="shared" si="66"/>
        <v>0</v>
      </c>
      <c r="H976" s="457"/>
      <c r="I976" s="461"/>
      <c r="J976" s="459">
        <f t="shared" si="65"/>
        <v>0</v>
      </c>
      <c r="K976" s="460"/>
      <c r="M976">
        <f t="shared" si="64"/>
        <v>0</v>
      </c>
      <c r="N976" s="415"/>
      <c r="O976" s="415"/>
    </row>
    <row r="977" customFormat="1" ht="20" hidden="1" customHeight="1" spans="1:15">
      <c r="A977" s="438">
        <v>2150215</v>
      </c>
      <c r="B977" s="239" t="s">
        <v>903</v>
      </c>
      <c r="C977" s="464">
        <v>0</v>
      </c>
      <c r="D977" s="461"/>
      <c r="E977" s="464">
        <v>0</v>
      </c>
      <c r="F977" s="457"/>
      <c r="G977" s="458">
        <f t="shared" si="66"/>
        <v>0</v>
      </c>
      <c r="H977" s="457"/>
      <c r="I977" s="461"/>
      <c r="J977" s="459">
        <f t="shared" si="65"/>
        <v>0</v>
      </c>
      <c r="K977" s="460"/>
      <c r="M977">
        <f t="shared" si="64"/>
        <v>0</v>
      </c>
      <c r="N977" s="415"/>
      <c r="O977" s="415"/>
    </row>
    <row r="978" customFormat="1" ht="20" hidden="1" customHeight="1" spans="1:15">
      <c r="A978" s="438">
        <v>2150299</v>
      </c>
      <c r="B978" s="239" t="s">
        <v>904</v>
      </c>
      <c r="C978" s="464">
        <v>1732.83</v>
      </c>
      <c r="D978" s="461"/>
      <c r="E978" s="464">
        <v>929</v>
      </c>
      <c r="F978" s="457"/>
      <c r="G978" s="458">
        <f t="shared" si="66"/>
        <v>-803.83</v>
      </c>
      <c r="H978" s="457">
        <f>G978/C978*100</f>
        <v>-46.3882781346122</v>
      </c>
      <c r="I978" s="461">
        <v>120</v>
      </c>
      <c r="J978" s="459">
        <f t="shared" si="65"/>
        <v>120</v>
      </c>
      <c r="K978" s="460"/>
      <c r="M978">
        <f t="shared" si="64"/>
        <v>0</v>
      </c>
      <c r="N978" s="415"/>
      <c r="O978" s="415"/>
    </row>
    <row r="979" customFormat="1" ht="20" hidden="1" customHeight="1" spans="1:15">
      <c r="A979" s="437">
        <v>21503</v>
      </c>
      <c r="B979" s="427" t="s">
        <v>905</v>
      </c>
      <c r="C979" s="461">
        <v>0</v>
      </c>
      <c r="D979" s="461"/>
      <c r="E979" s="461">
        <v>0</v>
      </c>
      <c r="F979" s="457"/>
      <c r="G979" s="458">
        <f t="shared" si="66"/>
        <v>0</v>
      </c>
      <c r="H979" s="457"/>
      <c r="I979" s="461"/>
      <c r="J979" s="459">
        <f t="shared" si="65"/>
        <v>0</v>
      </c>
      <c r="K979" s="460"/>
      <c r="M979">
        <f t="shared" si="64"/>
        <v>0</v>
      </c>
      <c r="N979" s="415"/>
      <c r="O979" s="415"/>
    </row>
    <row r="980" customFormat="1" ht="20" hidden="1" customHeight="1" spans="1:15">
      <c r="A980" s="440">
        <v>2150301</v>
      </c>
      <c r="B980" s="239" t="s">
        <v>731</v>
      </c>
      <c r="C980" s="461">
        <v>0</v>
      </c>
      <c r="D980" s="461"/>
      <c r="E980" s="461">
        <v>0</v>
      </c>
      <c r="F980" s="457"/>
      <c r="G980" s="458">
        <f t="shared" si="66"/>
        <v>0</v>
      </c>
      <c r="H980" s="457"/>
      <c r="I980" s="461"/>
      <c r="J980" s="459">
        <f t="shared" si="65"/>
        <v>0</v>
      </c>
      <c r="K980" s="460"/>
      <c r="M980">
        <f t="shared" si="64"/>
        <v>0</v>
      </c>
      <c r="N980" s="415"/>
      <c r="O980" s="415"/>
    </row>
    <row r="981" customFormat="1" ht="20" hidden="1" customHeight="1" spans="1:15">
      <c r="A981" s="440">
        <v>2150302</v>
      </c>
      <c r="B981" s="239" t="s">
        <v>732</v>
      </c>
      <c r="C981" s="461">
        <v>0</v>
      </c>
      <c r="D981" s="461"/>
      <c r="E981" s="461">
        <v>0</v>
      </c>
      <c r="F981" s="457"/>
      <c r="G981" s="458">
        <f t="shared" si="66"/>
        <v>0</v>
      </c>
      <c r="H981" s="457"/>
      <c r="I981" s="461"/>
      <c r="J981" s="459">
        <f t="shared" si="65"/>
        <v>0</v>
      </c>
      <c r="K981" s="460"/>
      <c r="M981">
        <f t="shared" si="64"/>
        <v>0</v>
      </c>
      <c r="N981" s="415"/>
      <c r="O981" s="415"/>
    </row>
    <row r="982" customFormat="1" ht="20" hidden="1" customHeight="1" spans="1:15">
      <c r="A982" s="440">
        <v>2150303</v>
      </c>
      <c r="B982" s="239" t="s">
        <v>733</v>
      </c>
      <c r="C982" s="461">
        <v>0</v>
      </c>
      <c r="D982" s="461"/>
      <c r="E982" s="461">
        <v>0</v>
      </c>
      <c r="F982" s="457"/>
      <c r="G982" s="458">
        <f t="shared" si="66"/>
        <v>0</v>
      </c>
      <c r="H982" s="457"/>
      <c r="I982" s="461"/>
      <c r="J982" s="459">
        <f t="shared" si="65"/>
        <v>0</v>
      </c>
      <c r="K982" s="460"/>
      <c r="M982">
        <f t="shared" si="64"/>
        <v>0</v>
      </c>
      <c r="N982" s="415"/>
      <c r="O982" s="415"/>
    </row>
    <row r="983" customFormat="1" ht="20" hidden="1" customHeight="1" spans="1:15">
      <c r="A983" s="440">
        <v>2150399</v>
      </c>
      <c r="B983" s="239" t="s">
        <v>906</v>
      </c>
      <c r="C983" s="461">
        <v>0</v>
      </c>
      <c r="D983" s="461"/>
      <c r="E983" s="461">
        <v>0</v>
      </c>
      <c r="F983" s="457"/>
      <c r="G983" s="458">
        <f t="shared" si="66"/>
        <v>0</v>
      </c>
      <c r="H983" s="457"/>
      <c r="I983" s="461"/>
      <c r="J983" s="459">
        <f t="shared" si="65"/>
        <v>0</v>
      </c>
      <c r="K983" s="460"/>
      <c r="M983">
        <f t="shared" si="64"/>
        <v>0</v>
      </c>
      <c r="N983" s="415"/>
      <c r="O983" s="415"/>
    </row>
    <row r="984" customFormat="1" ht="20" hidden="1" customHeight="1" spans="1:15">
      <c r="A984" s="437">
        <v>21505</v>
      </c>
      <c r="B984" s="427" t="s">
        <v>907</v>
      </c>
      <c r="C984" s="461">
        <v>0</v>
      </c>
      <c r="D984" s="461"/>
      <c r="E984" s="461">
        <v>0</v>
      </c>
      <c r="F984" s="457"/>
      <c r="G984" s="458">
        <f t="shared" si="66"/>
        <v>0</v>
      </c>
      <c r="H984" s="457"/>
      <c r="I984" s="461"/>
      <c r="J984" s="459">
        <f t="shared" si="65"/>
        <v>0</v>
      </c>
      <c r="K984" s="460"/>
      <c r="M984">
        <f t="shared" si="64"/>
        <v>0</v>
      </c>
      <c r="N984" s="415"/>
      <c r="O984" s="415"/>
    </row>
    <row r="985" customFormat="1" ht="20" hidden="1" customHeight="1" spans="1:15">
      <c r="A985" s="440">
        <v>2150501</v>
      </c>
      <c r="B985" s="239" t="s">
        <v>731</v>
      </c>
      <c r="C985" s="464">
        <v>0</v>
      </c>
      <c r="D985" s="461"/>
      <c r="E985" s="464">
        <v>0</v>
      </c>
      <c r="F985" s="457"/>
      <c r="G985" s="458">
        <f t="shared" si="66"/>
        <v>0</v>
      </c>
      <c r="H985" s="457"/>
      <c r="I985" s="461"/>
      <c r="J985" s="459">
        <f t="shared" si="65"/>
        <v>0</v>
      </c>
      <c r="K985" s="460"/>
      <c r="M985">
        <f t="shared" si="64"/>
        <v>0</v>
      </c>
      <c r="N985" s="415"/>
      <c r="O985" s="415"/>
    </row>
    <row r="986" customFormat="1" ht="20" hidden="1" customHeight="1" spans="1:15">
      <c r="A986" s="440">
        <v>2150502</v>
      </c>
      <c r="B986" s="239" t="s">
        <v>732</v>
      </c>
      <c r="C986" s="464">
        <v>0</v>
      </c>
      <c r="D986" s="461"/>
      <c r="E986" s="464">
        <v>0</v>
      </c>
      <c r="F986" s="457"/>
      <c r="G986" s="458">
        <f t="shared" si="66"/>
        <v>0</v>
      </c>
      <c r="H986" s="457"/>
      <c r="I986" s="461"/>
      <c r="J986" s="459">
        <f t="shared" si="65"/>
        <v>0</v>
      </c>
      <c r="K986" s="460"/>
      <c r="M986">
        <f t="shared" si="64"/>
        <v>0</v>
      </c>
      <c r="N986" s="415"/>
      <c r="O986" s="415"/>
    </row>
    <row r="987" customFormat="1" ht="20" hidden="1" customHeight="1" spans="1:15">
      <c r="A987" s="440">
        <v>2150503</v>
      </c>
      <c r="B987" s="239" t="s">
        <v>733</v>
      </c>
      <c r="C987" s="464">
        <v>0</v>
      </c>
      <c r="D987" s="461"/>
      <c r="E987" s="464">
        <v>0</v>
      </c>
      <c r="F987" s="457"/>
      <c r="G987" s="458">
        <f t="shared" si="66"/>
        <v>0</v>
      </c>
      <c r="H987" s="457"/>
      <c r="I987" s="461"/>
      <c r="J987" s="459">
        <f t="shared" si="65"/>
        <v>0</v>
      </c>
      <c r="K987" s="460"/>
      <c r="M987">
        <f t="shared" si="64"/>
        <v>0</v>
      </c>
      <c r="N987" s="415"/>
      <c r="O987" s="415"/>
    </row>
    <row r="988" customFormat="1" ht="20" hidden="1" customHeight="1" spans="1:15">
      <c r="A988" s="440">
        <v>2150505</v>
      </c>
      <c r="B988" s="239" t="s">
        <v>908</v>
      </c>
      <c r="C988" s="464">
        <v>0</v>
      </c>
      <c r="D988" s="461"/>
      <c r="E988" s="464">
        <v>0</v>
      </c>
      <c r="F988" s="457"/>
      <c r="G988" s="458">
        <f t="shared" si="66"/>
        <v>0</v>
      </c>
      <c r="H988" s="457"/>
      <c r="I988" s="461"/>
      <c r="J988" s="459">
        <f t="shared" si="65"/>
        <v>0</v>
      </c>
      <c r="K988" s="460"/>
      <c r="M988">
        <f t="shared" si="64"/>
        <v>0</v>
      </c>
      <c r="N988" s="415"/>
      <c r="O988" s="415"/>
    </row>
    <row r="989" customFormat="1" ht="20" hidden="1" customHeight="1" spans="1:15">
      <c r="A989" s="440">
        <v>2150507</v>
      </c>
      <c r="B989" s="239" t="s">
        <v>909</v>
      </c>
      <c r="C989" s="464">
        <v>0</v>
      </c>
      <c r="D989" s="461"/>
      <c r="E989" s="464">
        <v>0</v>
      </c>
      <c r="F989" s="457"/>
      <c r="G989" s="458">
        <f t="shared" si="66"/>
        <v>0</v>
      </c>
      <c r="H989" s="457"/>
      <c r="I989" s="461"/>
      <c r="J989" s="459">
        <f t="shared" si="65"/>
        <v>0</v>
      </c>
      <c r="K989" s="460"/>
      <c r="M989">
        <f t="shared" si="64"/>
        <v>0</v>
      </c>
      <c r="N989" s="415"/>
      <c r="O989" s="415"/>
    </row>
    <row r="990" customFormat="1" ht="20" hidden="1" customHeight="1" spans="1:15">
      <c r="A990" s="440">
        <v>2150508</v>
      </c>
      <c r="B990" s="239" t="s">
        <v>910</v>
      </c>
      <c r="C990" s="464">
        <v>0</v>
      </c>
      <c r="D990" s="461"/>
      <c r="E990" s="464">
        <v>0</v>
      </c>
      <c r="F990" s="457"/>
      <c r="G990" s="458">
        <f t="shared" si="66"/>
        <v>0</v>
      </c>
      <c r="H990" s="457"/>
      <c r="I990" s="461"/>
      <c r="J990" s="459">
        <f t="shared" si="65"/>
        <v>0</v>
      </c>
      <c r="K990" s="460"/>
      <c r="M990">
        <f t="shared" si="64"/>
        <v>0</v>
      </c>
      <c r="N990" s="415"/>
      <c r="O990" s="415"/>
    </row>
    <row r="991" customFormat="1" ht="20" hidden="1" customHeight="1" spans="1:15">
      <c r="A991" s="440">
        <v>2150516</v>
      </c>
      <c r="B991" s="239" t="s">
        <v>911</v>
      </c>
      <c r="C991" s="464">
        <v>0</v>
      </c>
      <c r="D991" s="461"/>
      <c r="E991" s="464">
        <v>0</v>
      </c>
      <c r="F991" s="457"/>
      <c r="G991" s="458">
        <f t="shared" si="66"/>
        <v>0</v>
      </c>
      <c r="H991" s="457"/>
      <c r="I991" s="461"/>
      <c r="J991" s="459">
        <f t="shared" si="65"/>
        <v>0</v>
      </c>
      <c r="K991" s="460"/>
      <c r="M991">
        <f t="shared" si="64"/>
        <v>0</v>
      </c>
      <c r="N991" s="415"/>
      <c r="O991" s="415"/>
    </row>
    <row r="992" customFormat="1" ht="20" hidden="1" customHeight="1" spans="1:15">
      <c r="A992" s="440">
        <v>2150517</v>
      </c>
      <c r="B992" s="239" t="s">
        <v>912</v>
      </c>
      <c r="C992" s="464">
        <v>0</v>
      </c>
      <c r="D992" s="461"/>
      <c r="E992" s="464">
        <v>0</v>
      </c>
      <c r="F992" s="457"/>
      <c r="G992" s="458">
        <f t="shared" si="66"/>
        <v>0</v>
      </c>
      <c r="H992" s="457"/>
      <c r="I992" s="461"/>
      <c r="J992" s="459">
        <f t="shared" si="65"/>
        <v>0</v>
      </c>
      <c r="K992" s="460"/>
      <c r="M992">
        <f t="shared" si="64"/>
        <v>0</v>
      </c>
      <c r="N992" s="415"/>
      <c r="O992" s="415"/>
    </row>
    <row r="993" customFormat="1" ht="20" hidden="1" customHeight="1" spans="1:15">
      <c r="A993" s="440">
        <v>2150550</v>
      </c>
      <c r="B993" s="239" t="s">
        <v>750</v>
      </c>
      <c r="C993" s="464">
        <v>0</v>
      </c>
      <c r="D993" s="461"/>
      <c r="E993" s="464">
        <v>0</v>
      </c>
      <c r="F993" s="457"/>
      <c r="G993" s="458">
        <f t="shared" si="66"/>
        <v>0</v>
      </c>
      <c r="H993" s="457"/>
      <c r="I993" s="461"/>
      <c r="J993" s="459">
        <f t="shared" si="65"/>
        <v>0</v>
      </c>
      <c r="K993" s="460"/>
      <c r="M993">
        <f t="shared" si="64"/>
        <v>0</v>
      </c>
      <c r="N993" s="415"/>
      <c r="O993" s="415"/>
    </row>
    <row r="994" customFormat="1" ht="20" hidden="1" customHeight="1" spans="1:15">
      <c r="A994" s="440">
        <v>2150599</v>
      </c>
      <c r="B994" s="239" t="s">
        <v>913</v>
      </c>
      <c r="C994" s="464">
        <v>0</v>
      </c>
      <c r="D994" s="461"/>
      <c r="E994" s="464">
        <v>0</v>
      </c>
      <c r="F994" s="457"/>
      <c r="G994" s="458">
        <f t="shared" si="66"/>
        <v>0</v>
      </c>
      <c r="H994" s="457"/>
      <c r="I994" s="461"/>
      <c r="J994" s="459">
        <f t="shared" si="65"/>
        <v>0</v>
      </c>
      <c r="K994" s="460"/>
      <c r="M994">
        <f t="shared" si="64"/>
        <v>0</v>
      </c>
      <c r="N994" s="415"/>
      <c r="O994" s="415"/>
    </row>
    <row r="995" customFormat="1" ht="20" hidden="1" customHeight="1" spans="1:15">
      <c r="A995" s="437">
        <v>21507</v>
      </c>
      <c r="B995" s="427" t="s">
        <v>914</v>
      </c>
      <c r="C995" s="461">
        <v>0</v>
      </c>
      <c r="D995" s="461"/>
      <c r="E995" s="461">
        <v>0</v>
      </c>
      <c r="F995" s="457"/>
      <c r="G995" s="458">
        <f t="shared" si="66"/>
        <v>0</v>
      </c>
      <c r="H995" s="457"/>
      <c r="I995" s="461"/>
      <c r="J995" s="459">
        <f t="shared" si="65"/>
        <v>0</v>
      </c>
      <c r="K995" s="460"/>
      <c r="M995">
        <f t="shared" si="64"/>
        <v>0</v>
      </c>
      <c r="N995" s="415"/>
      <c r="O995" s="415"/>
    </row>
    <row r="996" customFormat="1" ht="20" hidden="1" customHeight="1" spans="1:15">
      <c r="A996" s="440">
        <v>2150701</v>
      </c>
      <c r="B996" s="239" t="s">
        <v>731</v>
      </c>
      <c r="C996" s="464">
        <v>0</v>
      </c>
      <c r="D996" s="461"/>
      <c r="E996" s="464">
        <v>0</v>
      </c>
      <c r="F996" s="457"/>
      <c r="G996" s="458">
        <f t="shared" si="66"/>
        <v>0</v>
      </c>
      <c r="H996" s="457"/>
      <c r="I996" s="461"/>
      <c r="J996" s="459">
        <f t="shared" si="65"/>
        <v>0</v>
      </c>
      <c r="K996" s="460"/>
      <c r="M996">
        <f t="shared" si="64"/>
        <v>0</v>
      </c>
      <c r="N996" s="415"/>
      <c r="O996" s="415"/>
    </row>
    <row r="997" customFormat="1" ht="20" hidden="1" customHeight="1" spans="1:15">
      <c r="A997" s="440">
        <v>2150702</v>
      </c>
      <c r="B997" s="239" t="s">
        <v>732</v>
      </c>
      <c r="C997" s="464">
        <v>0</v>
      </c>
      <c r="D997" s="461"/>
      <c r="E997" s="464">
        <v>0</v>
      </c>
      <c r="F997" s="457"/>
      <c r="G997" s="458">
        <f t="shared" si="66"/>
        <v>0</v>
      </c>
      <c r="H997" s="457"/>
      <c r="I997" s="461"/>
      <c r="J997" s="459">
        <f t="shared" si="65"/>
        <v>0</v>
      </c>
      <c r="K997" s="460"/>
      <c r="M997">
        <f t="shared" si="64"/>
        <v>0</v>
      </c>
      <c r="N997" s="415"/>
      <c r="O997" s="415"/>
    </row>
    <row r="998" customFormat="1" ht="20" hidden="1" customHeight="1" spans="1:15">
      <c r="A998" s="440">
        <v>2150703</v>
      </c>
      <c r="B998" s="239" t="s">
        <v>733</v>
      </c>
      <c r="C998" s="464">
        <v>0</v>
      </c>
      <c r="D998" s="461"/>
      <c r="E998" s="464">
        <v>0</v>
      </c>
      <c r="F998" s="457"/>
      <c r="G998" s="458">
        <f t="shared" si="66"/>
        <v>0</v>
      </c>
      <c r="H998" s="457"/>
      <c r="I998" s="461"/>
      <c r="J998" s="459">
        <f t="shared" si="65"/>
        <v>0</v>
      </c>
      <c r="K998" s="460"/>
      <c r="M998">
        <f t="shared" si="64"/>
        <v>0</v>
      </c>
      <c r="N998" s="415"/>
      <c r="O998" s="415"/>
    </row>
    <row r="999" customFormat="1" ht="20" hidden="1" customHeight="1" spans="1:15">
      <c r="A999" s="440">
        <v>2150704</v>
      </c>
      <c r="B999" s="239" t="s">
        <v>915</v>
      </c>
      <c r="C999" s="464">
        <v>0</v>
      </c>
      <c r="D999" s="461"/>
      <c r="E999" s="464">
        <v>0</v>
      </c>
      <c r="F999" s="457"/>
      <c r="G999" s="458">
        <f t="shared" si="66"/>
        <v>0</v>
      </c>
      <c r="H999" s="457"/>
      <c r="I999" s="461"/>
      <c r="J999" s="459">
        <f t="shared" si="65"/>
        <v>0</v>
      </c>
      <c r="K999" s="460"/>
      <c r="M999">
        <f t="shared" si="64"/>
        <v>0</v>
      </c>
      <c r="N999" s="415"/>
      <c r="O999" s="415"/>
    </row>
    <row r="1000" customFormat="1" ht="20" hidden="1" customHeight="1" spans="1:15">
      <c r="A1000" s="440">
        <v>2150799</v>
      </c>
      <c r="B1000" s="239" t="s">
        <v>916</v>
      </c>
      <c r="C1000" s="464">
        <v>0</v>
      </c>
      <c r="D1000" s="461"/>
      <c r="E1000" s="464">
        <v>0</v>
      </c>
      <c r="F1000" s="457"/>
      <c r="G1000" s="458">
        <f t="shared" si="66"/>
        <v>0</v>
      </c>
      <c r="H1000" s="457"/>
      <c r="I1000" s="461"/>
      <c r="J1000" s="459">
        <f t="shared" si="65"/>
        <v>0</v>
      </c>
      <c r="K1000" s="460"/>
      <c r="M1000">
        <f t="shared" si="64"/>
        <v>0</v>
      </c>
      <c r="N1000" s="415"/>
      <c r="O1000" s="415"/>
    </row>
    <row r="1001" customFormat="1" ht="20" hidden="1" customHeight="1" spans="1:15">
      <c r="A1001" s="437">
        <v>21508</v>
      </c>
      <c r="B1001" s="427" t="s">
        <v>917</v>
      </c>
      <c r="C1001" s="470">
        <f>SUM(C1002:C1007)</f>
        <v>30</v>
      </c>
      <c r="D1001" s="470">
        <f>SUM(D1002:D1007)</f>
        <v>0</v>
      </c>
      <c r="E1001" s="470">
        <f>SUM(E1002:E1007)</f>
        <v>0</v>
      </c>
      <c r="F1001" s="457"/>
      <c r="G1001" s="458">
        <f t="shared" si="66"/>
        <v>-30</v>
      </c>
      <c r="H1001" s="457">
        <f>G1001/C1001*100</f>
        <v>-100</v>
      </c>
      <c r="I1001" s="470">
        <f>SUM(I1002:I1007)</f>
        <v>0</v>
      </c>
      <c r="J1001" s="459">
        <f t="shared" si="65"/>
        <v>0</v>
      </c>
      <c r="K1001" s="460"/>
      <c r="M1001">
        <f t="shared" si="64"/>
        <v>0</v>
      </c>
      <c r="N1001" s="415"/>
      <c r="O1001" s="415"/>
    </row>
    <row r="1002" customFormat="1" ht="20" hidden="1" customHeight="1" spans="1:15">
      <c r="A1002" s="440">
        <v>2150801</v>
      </c>
      <c r="B1002" s="239" t="s">
        <v>731</v>
      </c>
      <c r="C1002" s="461">
        <v>0</v>
      </c>
      <c r="D1002" s="461"/>
      <c r="E1002" s="461">
        <v>0</v>
      </c>
      <c r="F1002" s="457"/>
      <c r="G1002" s="458">
        <f t="shared" si="66"/>
        <v>0</v>
      </c>
      <c r="H1002" s="457"/>
      <c r="I1002" s="461"/>
      <c r="J1002" s="459">
        <f t="shared" si="65"/>
        <v>0</v>
      </c>
      <c r="K1002" s="460"/>
      <c r="M1002">
        <f t="shared" si="64"/>
        <v>0</v>
      </c>
      <c r="N1002" s="415"/>
      <c r="O1002" s="415"/>
    </row>
    <row r="1003" customFormat="1" ht="20" hidden="1" customHeight="1" spans="1:15">
      <c r="A1003" s="440">
        <v>2150802</v>
      </c>
      <c r="B1003" s="239" t="s">
        <v>732</v>
      </c>
      <c r="C1003" s="461">
        <v>0</v>
      </c>
      <c r="D1003" s="461"/>
      <c r="E1003" s="461">
        <v>0</v>
      </c>
      <c r="F1003" s="457"/>
      <c r="G1003" s="458">
        <f t="shared" si="66"/>
        <v>0</v>
      </c>
      <c r="H1003" s="457"/>
      <c r="I1003" s="461"/>
      <c r="J1003" s="459">
        <f t="shared" si="65"/>
        <v>0</v>
      </c>
      <c r="K1003" s="460"/>
      <c r="M1003">
        <f t="shared" si="64"/>
        <v>0</v>
      </c>
      <c r="N1003" s="415"/>
      <c r="O1003" s="415"/>
    </row>
    <row r="1004" customFormat="1" ht="20" hidden="1" customHeight="1" spans="1:15">
      <c r="A1004" s="440">
        <v>2150803</v>
      </c>
      <c r="B1004" s="239" t="s">
        <v>733</v>
      </c>
      <c r="C1004" s="461">
        <v>0</v>
      </c>
      <c r="D1004" s="461"/>
      <c r="E1004" s="461">
        <v>0</v>
      </c>
      <c r="F1004" s="457"/>
      <c r="G1004" s="458">
        <f t="shared" si="66"/>
        <v>0</v>
      </c>
      <c r="H1004" s="457"/>
      <c r="I1004" s="461"/>
      <c r="J1004" s="459">
        <f t="shared" si="65"/>
        <v>0</v>
      </c>
      <c r="K1004" s="460"/>
      <c r="M1004">
        <f t="shared" si="64"/>
        <v>0</v>
      </c>
      <c r="N1004" s="415"/>
      <c r="O1004" s="415"/>
    </row>
    <row r="1005" customFormat="1" ht="20" hidden="1" customHeight="1" spans="1:15">
      <c r="A1005" s="440">
        <v>2150804</v>
      </c>
      <c r="B1005" s="239" t="s">
        <v>918</v>
      </c>
      <c r="C1005" s="461">
        <v>0</v>
      </c>
      <c r="D1005" s="461"/>
      <c r="E1005" s="461">
        <v>0</v>
      </c>
      <c r="F1005" s="457"/>
      <c r="G1005" s="458">
        <f t="shared" si="66"/>
        <v>0</v>
      </c>
      <c r="H1005" s="457"/>
      <c r="I1005" s="461"/>
      <c r="J1005" s="459">
        <f t="shared" si="65"/>
        <v>0</v>
      </c>
      <c r="K1005" s="460"/>
      <c r="M1005">
        <f t="shared" si="64"/>
        <v>0</v>
      </c>
      <c r="N1005" s="415"/>
      <c r="O1005" s="415"/>
    </row>
    <row r="1006" customFormat="1" ht="20" hidden="1" customHeight="1" spans="1:15">
      <c r="A1006" s="440">
        <v>2150805</v>
      </c>
      <c r="B1006" s="239" t="s">
        <v>919</v>
      </c>
      <c r="C1006" s="461">
        <v>0</v>
      </c>
      <c r="D1006" s="461"/>
      <c r="E1006" s="461">
        <v>0</v>
      </c>
      <c r="F1006" s="457"/>
      <c r="G1006" s="458">
        <f t="shared" si="66"/>
        <v>0</v>
      </c>
      <c r="H1006" s="457"/>
      <c r="I1006" s="461"/>
      <c r="J1006" s="459">
        <f t="shared" si="65"/>
        <v>0</v>
      </c>
      <c r="K1006" s="460"/>
      <c r="M1006">
        <f t="shared" si="64"/>
        <v>0</v>
      </c>
      <c r="N1006" s="415"/>
      <c r="O1006" s="415"/>
    </row>
    <row r="1007" customFormat="1" ht="20" hidden="1" customHeight="1" spans="1:15">
      <c r="A1007" s="440">
        <v>2150899</v>
      </c>
      <c r="B1007" s="239" t="s">
        <v>920</v>
      </c>
      <c r="C1007" s="464">
        <v>30</v>
      </c>
      <c r="D1007" s="461"/>
      <c r="E1007" s="464"/>
      <c r="F1007" s="457"/>
      <c r="G1007" s="458">
        <f t="shared" si="66"/>
        <v>-30</v>
      </c>
      <c r="H1007" s="457">
        <f>G1007/C1007*100</f>
        <v>-100</v>
      </c>
      <c r="I1007" s="461"/>
      <c r="J1007" s="459">
        <f t="shared" si="65"/>
        <v>0</v>
      </c>
      <c r="K1007" s="460"/>
      <c r="M1007">
        <f t="shared" si="64"/>
        <v>0</v>
      </c>
      <c r="N1007" s="415"/>
      <c r="O1007" s="415"/>
    </row>
    <row r="1008" customFormat="1" ht="20" hidden="1" customHeight="1" spans="1:15">
      <c r="A1008" s="437">
        <v>21599</v>
      </c>
      <c r="B1008" s="427" t="s">
        <v>921</v>
      </c>
      <c r="C1008" s="470">
        <f>SUM(C1009:C1013)</f>
        <v>30</v>
      </c>
      <c r="D1008" s="470">
        <f>SUM(D1009:D1013)</f>
        <v>450</v>
      </c>
      <c r="E1008" s="470">
        <f>SUM(E1009:E1013)</f>
        <v>185</v>
      </c>
      <c r="F1008" s="457">
        <f>E1008/D1008*100</f>
        <v>41.1111111111111</v>
      </c>
      <c r="G1008" s="458">
        <f t="shared" si="66"/>
        <v>155</v>
      </c>
      <c r="H1008" s="457">
        <f>G1008/C1008*100</f>
        <v>516.666666666667</v>
      </c>
      <c r="I1008" s="470">
        <f>SUM(I1009:I1013)</f>
        <v>0</v>
      </c>
      <c r="J1008" s="459">
        <f t="shared" si="65"/>
        <v>-450</v>
      </c>
      <c r="K1008" s="460">
        <f>J1008/D1008*100</f>
        <v>-100</v>
      </c>
      <c r="M1008">
        <f t="shared" si="64"/>
        <v>0</v>
      </c>
      <c r="N1008" s="415"/>
      <c r="O1008" s="415"/>
    </row>
    <row r="1009" customFormat="1" ht="20" hidden="1" customHeight="1" spans="1:17">
      <c r="A1009" s="440">
        <v>2159901</v>
      </c>
      <c r="B1009" s="239" t="s">
        <v>922</v>
      </c>
      <c r="C1009" s="461">
        <v>0</v>
      </c>
      <c r="D1009" s="461"/>
      <c r="E1009" s="461">
        <v>0</v>
      </c>
      <c r="F1009" s="457"/>
      <c r="G1009" s="458">
        <f t="shared" si="66"/>
        <v>0</v>
      </c>
      <c r="H1009" s="457"/>
      <c r="I1009" s="461"/>
      <c r="J1009" s="459">
        <f t="shared" si="65"/>
        <v>0</v>
      </c>
      <c r="K1009" s="460"/>
      <c r="M1009">
        <f t="shared" si="64"/>
        <v>0</v>
      </c>
      <c r="N1009" s="415"/>
      <c r="O1009" s="415"/>
    </row>
    <row r="1010" customFormat="1" ht="20" hidden="1" customHeight="1" spans="1:17">
      <c r="A1010" s="440">
        <v>2159904</v>
      </c>
      <c r="B1010" s="239" t="s">
        <v>923</v>
      </c>
      <c r="C1010" s="461">
        <v>0</v>
      </c>
      <c r="D1010" s="461"/>
      <c r="E1010" s="461">
        <v>0</v>
      </c>
      <c r="F1010" s="457"/>
      <c r="G1010" s="458">
        <f t="shared" si="66"/>
        <v>0</v>
      </c>
      <c r="H1010" s="457"/>
      <c r="I1010" s="461"/>
      <c r="J1010" s="459">
        <f t="shared" si="65"/>
        <v>0</v>
      </c>
      <c r="K1010" s="460"/>
      <c r="M1010">
        <f t="shared" si="64"/>
        <v>0</v>
      </c>
      <c r="N1010" s="415"/>
      <c r="O1010" s="415"/>
    </row>
    <row r="1011" customFormat="1" ht="20" hidden="1" customHeight="1" spans="1:17">
      <c r="A1011" s="440">
        <v>2159905</v>
      </c>
      <c r="B1011" s="239" t="s">
        <v>924</v>
      </c>
      <c r="C1011" s="461">
        <v>0</v>
      </c>
      <c r="D1011" s="461"/>
      <c r="E1011" s="461">
        <v>0</v>
      </c>
      <c r="F1011" s="457"/>
      <c r="G1011" s="458">
        <f t="shared" si="66"/>
        <v>0</v>
      </c>
      <c r="H1011" s="457"/>
      <c r="I1011" s="461"/>
      <c r="J1011" s="459">
        <f t="shared" si="65"/>
        <v>0</v>
      </c>
      <c r="K1011" s="460"/>
      <c r="M1011">
        <f t="shared" si="64"/>
        <v>0</v>
      </c>
      <c r="N1011" s="415"/>
      <c r="O1011" s="415"/>
    </row>
    <row r="1012" customFormat="1" ht="20" hidden="1" customHeight="1" spans="1:17">
      <c r="A1012" s="440">
        <v>2159906</v>
      </c>
      <c r="B1012" s="239" t="s">
        <v>925</v>
      </c>
      <c r="C1012" s="461">
        <v>0</v>
      </c>
      <c r="D1012" s="461"/>
      <c r="E1012" s="461">
        <v>0</v>
      </c>
      <c r="F1012" s="457"/>
      <c r="G1012" s="458">
        <f t="shared" si="66"/>
        <v>0</v>
      </c>
      <c r="H1012" s="457"/>
      <c r="I1012" s="461"/>
      <c r="J1012" s="459">
        <f t="shared" si="65"/>
        <v>0</v>
      </c>
      <c r="K1012" s="460"/>
      <c r="M1012">
        <f t="shared" si="64"/>
        <v>0</v>
      </c>
      <c r="N1012" s="415"/>
      <c r="O1012" s="415"/>
    </row>
    <row r="1013" customFormat="1" ht="20" hidden="1" customHeight="1" spans="1:17">
      <c r="A1013" s="440">
        <v>2159999</v>
      </c>
      <c r="B1013" s="239" t="s">
        <v>926</v>
      </c>
      <c r="C1013" s="461">
        <v>30</v>
      </c>
      <c r="D1013" s="461">
        <v>450</v>
      </c>
      <c r="E1013" s="461">
        <v>185</v>
      </c>
      <c r="F1013" s="457">
        <f>E1013/D1013*100</f>
        <v>41.1111111111111</v>
      </c>
      <c r="G1013" s="458">
        <f t="shared" si="66"/>
        <v>155</v>
      </c>
      <c r="H1013" s="457">
        <f>G1013/C1013*100</f>
        <v>516.666666666667</v>
      </c>
      <c r="I1013" s="461"/>
      <c r="J1013" s="459">
        <f t="shared" si="65"/>
        <v>-450</v>
      </c>
      <c r="K1013" s="460">
        <f>J1013/D1013*100</f>
        <v>-100</v>
      </c>
      <c r="M1013">
        <f t="shared" ref="M1013:M1076" si="67">N1013+O1013</f>
        <v>0</v>
      </c>
      <c r="N1013" s="415"/>
      <c r="O1013" s="415"/>
      <c r="Q1013">
        <v>3280</v>
      </c>
    </row>
    <row r="1014" s="278" customFormat="1" ht="20" customHeight="1" spans="1:17">
      <c r="A1014" s="412">
        <v>216</v>
      </c>
      <c r="B1014" s="413" t="s">
        <v>927</v>
      </c>
      <c r="C1014" s="371">
        <f>SUM(C1015:C1033)/2</f>
        <v>138.011801</v>
      </c>
      <c r="D1014" s="371">
        <f>SUM(D1015:D1033)/2</f>
        <v>119.195056</v>
      </c>
      <c r="E1014" s="371">
        <f>SUM(E1015:E1033)/2</f>
        <v>203</v>
      </c>
      <c r="F1014" s="414">
        <f>E1014/D1014*100</f>
        <v>170.309077248976</v>
      </c>
      <c r="G1014" s="346">
        <f t="shared" si="66"/>
        <v>64.988199</v>
      </c>
      <c r="H1014" s="414">
        <f>G1014/C1014*100</f>
        <v>47.0888710451652</v>
      </c>
      <c r="I1014" s="371">
        <f>SUM(I1015:I1033)/2</f>
        <v>125.233955</v>
      </c>
      <c r="J1014" s="307">
        <f t="shared" si="65"/>
        <v>6.038899</v>
      </c>
      <c r="K1014" s="306">
        <f>J1014/D1014*100</f>
        <v>5.06640057285598</v>
      </c>
      <c r="M1014" s="278">
        <f t="shared" si="67"/>
        <v>0</v>
      </c>
      <c r="N1014" s="415"/>
      <c r="O1014" s="415"/>
    </row>
    <row r="1015" customFormat="1" ht="20" hidden="1" customHeight="1" spans="1:17">
      <c r="A1015" s="437">
        <v>21602</v>
      </c>
      <c r="B1015" s="427" t="s">
        <v>928</v>
      </c>
      <c r="C1015" s="470">
        <f>SUM(C1016:C1024)</f>
        <v>138.011801</v>
      </c>
      <c r="D1015" s="470">
        <f>SUM(D1016:D1024)</f>
        <v>119.195056</v>
      </c>
      <c r="E1015" s="470">
        <f>SUM(E1016:E1024)</f>
        <v>203</v>
      </c>
      <c r="F1015" s="457">
        <f>E1015/D1015*100</f>
        <v>170.309077248976</v>
      </c>
      <c r="G1015" s="458">
        <f t="shared" si="66"/>
        <v>64.988199</v>
      </c>
      <c r="H1015" s="457">
        <f>G1015/C1015*100</f>
        <v>47.0888710451652</v>
      </c>
      <c r="I1015" s="470">
        <f>SUM(I1016:I1024)</f>
        <v>125.233955</v>
      </c>
      <c r="J1015" s="459">
        <f t="shared" si="65"/>
        <v>6.038899</v>
      </c>
      <c r="K1015" s="460">
        <f>J1015/D1015*100</f>
        <v>5.06640057285598</v>
      </c>
      <c r="M1015">
        <f t="shared" si="67"/>
        <v>0</v>
      </c>
      <c r="N1015" s="415"/>
      <c r="O1015" s="415"/>
    </row>
    <row r="1016" s="278" customFormat="1" ht="20" hidden="1" customHeight="1" spans="1:17">
      <c r="A1016" s="438">
        <v>2160201</v>
      </c>
      <c r="B1016" s="422" t="s">
        <v>731</v>
      </c>
      <c r="C1016" s="461">
        <v>138.011801</v>
      </c>
      <c r="D1016" s="466">
        <v>119.195056</v>
      </c>
      <c r="E1016" s="461">
        <v>123</v>
      </c>
      <c r="F1016" s="457">
        <f>E1016/D1016*100</f>
        <v>103.192199515389</v>
      </c>
      <c r="G1016" s="458">
        <f t="shared" si="66"/>
        <v>-15.011801</v>
      </c>
      <c r="H1016" s="457">
        <f>G1016/C1016*100</f>
        <v>-10.8771865095797</v>
      </c>
      <c r="I1016" s="462">
        <v>125.233955</v>
      </c>
      <c r="J1016" s="459">
        <f t="shared" si="65"/>
        <v>6.038899</v>
      </c>
      <c r="K1016" s="460">
        <f>J1016/D1016*100</f>
        <v>5.06640057285598</v>
      </c>
      <c r="M1016" s="278">
        <f t="shared" si="67"/>
        <v>114</v>
      </c>
      <c r="N1016" s="415">
        <v>114</v>
      </c>
      <c r="O1016" s="415"/>
    </row>
    <row r="1017" s="278" customFormat="1" ht="20" hidden="1" customHeight="1" spans="1:17">
      <c r="A1017" s="438">
        <v>2160202</v>
      </c>
      <c r="B1017" s="422" t="s">
        <v>732</v>
      </c>
      <c r="C1017" s="461">
        <v>0</v>
      </c>
      <c r="D1017" s="461"/>
      <c r="E1017" s="461">
        <v>0</v>
      </c>
      <c r="F1017" s="457"/>
      <c r="G1017" s="458">
        <f t="shared" si="66"/>
        <v>0</v>
      </c>
      <c r="H1017" s="457"/>
      <c r="I1017" s="461"/>
      <c r="J1017" s="459">
        <f t="shared" si="65"/>
        <v>0</v>
      </c>
      <c r="K1017" s="460"/>
      <c r="M1017" s="278">
        <f t="shared" si="67"/>
        <v>0</v>
      </c>
      <c r="N1017" s="415"/>
      <c r="O1017" s="415"/>
    </row>
    <row r="1018" s="278" customFormat="1" ht="20" hidden="1" customHeight="1" spans="1:17">
      <c r="A1018" s="438">
        <v>2160203</v>
      </c>
      <c r="B1018" s="422" t="s">
        <v>733</v>
      </c>
      <c r="C1018" s="461">
        <v>0</v>
      </c>
      <c r="D1018" s="461"/>
      <c r="E1018" s="461">
        <v>0</v>
      </c>
      <c r="F1018" s="457"/>
      <c r="G1018" s="458">
        <f t="shared" si="66"/>
        <v>0</v>
      </c>
      <c r="H1018" s="457"/>
      <c r="I1018" s="461"/>
      <c r="J1018" s="459">
        <f t="shared" si="65"/>
        <v>0</v>
      </c>
      <c r="K1018" s="460"/>
      <c r="M1018" s="278">
        <f t="shared" si="67"/>
        <v>0</v>
      </c>
      <c r="N1018" s="415"/>
      <c r="O1018" s="415"/>
    </row>
    <row r="1019" s="278" customFormat="1" ht="20" hidden="1" customHeight="1" spans="1:17">
      <c r="A1019" s="438">
        <v>2160216</v>
      </c>
      <c r="B1019" s="422" t="s">
        <v>929</v>
      </c>
      <c r="C1019" s="461">
        <v>0</v>
      </c>
      <c r="D1019" s="461"/>
      <c r="E1019" s="461">
        <v>0</v>
      </c>
      <c r="F1019" s="457"/>
      <c r="G1019" s="458">
        <f t="shared" si="66"/>
        <v>0</v>
      </c>
      <c r="H1019" s="457"/>
      <c r="I1019" s="461"/>
      <c r="J1019" s="459">
        <f t="shared" si="65"/>
        <v>0</v>
      </c>
      <c r="K1019" s="460"/>
      <c r="M1019" s="278">
        <f t="shared" si="67"/>
        <v>0</v>
      </c>
      <c r="N1019" s="415"/>
      <c r="O1019" s="415"/>
    </row>
    <row r="1020" s="278" customFormat="1" ht="20" hidden="1" customHeight="1" spans="1:17">
      <c r="A1020" s="438">
        <v>2160217</v>
      </c>
      <c r="B1020" s="422" t="s">
        <v>930</v>
      </c>
      <c r="C1020" s="461">
        <v>0</v>
      </c>
      <c r="D1020" s="461"/>
      <c r="E1020" s="461">
        <v>0</v>
      </c>
      <c r="F1020" s="457"/>
      <c r="G1020" s="458">
        <f t="shared" si="66"/>
        <v>0</v>
      </c>
      <c r="H1020" s="457"/>
      <c r="I1020" s="461"/>
      <c r="J1020" s="459">
        <f t="shared" si="65"/>
        <v>0</v>
      </c>
      <c r="K1020" s="460"/>
      <c r="M1020" s="278">
        <f t="shared" si="67"/>
        <v>0</v>
      </c>
      <c r="N1020" s="415"/>
      <c r="O1020" s="415"/>
    </row>
    <row r="1021" s="278" customFormat="1" ht="20" hidden="1" customHeight="1" spans="1:17">
      <c r="A1021" s="438">
        <v>2160218</v>
      </c>
      <c r="B1021" s="422" t="s">
        <v>931</v>
      </c>
      <c r="C1021" s="461">
        <v>0</v>
      </c>
      <c r="D1021" s="461"/>
      <c r="E1021" s="461">
        <v>0</v>
      </c>
      <c r="F1021" s="457"/>
      <c r="G1021" s="458">
        <f t="shared" si="66"/>
        <v>0</v>
      </c>
      <c r="H1021" s="457"/>
      <c r="I1021" s="461"/>
      <c r="J1021" s="459">
        <f t="shared" si="65"/>
        <v>0</v>
      </c>
      <c r="K1021" s="460"/>
      <c r="M1021" s="278">
        <f t="shared" si="67"/>
        <v>0</v>
      </c>
      <c r="N1021" s="415"/>
      <c r="O1021" s="415"/>
    </row>
    <row r="1022" s="278" customFormat="1" ht="20" hidden="1" customHeight="1" spans="1:17">
      <c r="A1022" s="438">
        <v>2160219</v>
      </c>
      <c r="B1022" s="422" t="s">
        <v>932</v>
      </c>
      <c r="C1022" s="461">
        <v>0</v>
      </c>
      <c r="D1022" s="461"/>
      <c r="E1022" s="461">
        <v>80</v>
      </c>
      <c r="F1022" s="457"/>
      <c r="G1022" s="458">
        <f t="shared" si="66"/>
        <v>80</v>
      </c>
      <c r="H1022" s="457"/>
      <c r="I1022" s="461"/>
      <c r="J1022" s="459">
        <f t="shared" si="65"/>
        <v>0</v>
      </c>
      <c r="K1022" s="460"/>
      <c r="M1022" s="278">
        <f t="shared" si="67"/>
        <v>0</v>
      </c>
      <c r="N1022" s="415"/>
      <c r="O1022" s="415"/>
    </row>
    <row r="1023" s="278" customFormat="1" ht="20" hidden="1" customHeight="1" spans="1:17">
      <c r="A1023" s="438">
        <v>2160250</v>
      </c>
      <c r="B1023" s="422" t="s">
        <v>750</v>
      </c>
      <c r="C1023" s="461">
        <v>0</v>
      </c>
      <c r="D1023" s="461"/>
      <c r="E1023" s="461">
        <v>0</v>
      </c>
      <c r="F1023" s="457"/>
      <c r="G1023" s="458">
        <f t="shared" si="66"/>
        <v>0</v>
      </c>
      <c r="H1023" s="457"/>
      <c r="I1023" s="461"/>
      <c r="J1023" s="459">
        <f t="shared" si="65"/>
        <v>0</v>
      </c>
      <c r="K1023" s="460"/>
      <c r="M1023" s="278">
        <f t="shared" si="67"/>
        <v>0</v>
      </c>
      <c r="N1023" s="415"/>
      <c r="O1023" s="415"/>
    </row>
    <row r="1024" s="278" customFormat="1" ht="20" hidden="1" customHeight="1" spans="1:17">
      <c r="A1024" s="438">
        <v>2160299</v>
      </c>
      <c r="B1024" s="422" t="s">
        <v>933</v>
      </c>
      <c r="C1024" s="461">
        <v>0</v>
      </c>
      <c r="D1024" s="461"/>
      <c r="E1024" s="461">
        <v>0</v>
      </c>
      <c r="F1024" s="457"/>
      <c r="G1024" s="458">
        <f t="shared" si="66"/>
        <v>0</v>
      </c>
      <c r="H1024" s="457"/>
      <c r="I1024" s="461"/>
      <c r="J1024" s="459">
        <f t="shared" si="65"/>
        <v>0</v>
      </c>
      <c r="K1024" s="460"/>
      <c r="M1024" s="278">
        <f t="shared" si="67"/>
        <v>0</v>
      </c>
      <c r="N1024" s="415"/>
      <c r="O1024" s="415"/>
    </row>
    <row r="1025" customFormat="1" ht="20" hidden="1" customHeight="1" spans="1:17">
      <c r="A1025" s="437">
        <v>21606</v>
      </c>
      <c r="B1025" s="427" t="s">
        <v>934</v>
      </c>
      <c r="C1025" s="461">
        <v>0</v>
      </c>
      <c r="D1025" s="461"/>
      <c r="E1025" s="461">
        <v>0</v>
      </c>
      <c r="F1025" s="457"/>
      <c r="G1025" s="458">
        <f t="shared" si="66"/>
        <v>0</v>
      </c>
      <c r="H1025" s="457"/>
      <c r="I1025" s="461"/>
      <c r="J1025" s="459">
        <f t="shared" si="65"/>
        <v>0</v>
      </c>
      <c r="K1025" s="460"/>
      <c r="M1025">
        <f t="shared" si="67"/>
        <v>0</v>
      </c>
      <c r="N1025" s="415"/>
      <c r="O1025" s="415"/>
    </row>
    <row r="1026" customFormat="1" ht="20" hidden="1" customHeight="1" spans="1:17">
      <c r="A1026" s="440">
        <v>2160601</v>
      </c>
      <c r="B1026" s="239" t="s">
        <v>731</v>
      </c>
      <c r="C1026" s="461">
        <v>0</v>
      </c>
      <c r="D1026" s="461"/>
      <c r="E1026" s="461">
        <v>0</v>
      </c>
      <c r="F1026" s="457"/>
      <c r="G1026" s="458">
        <f t="shared" si="66"/>
        <v>0</v>
      </c>
      <c r="H1026" s="457"/>
      <c r="I1026" s="461"/>
      <c r="J1026" s="459">
        <f t="shared" si="65"/>
        <v>0</v>
      </c>
      <c r="K1026" s="460"/>
      <c r="M1026">
        <f t="shared" si="67"/>
        <v>0</v>
      </c>
      <c r="N1026" s="415"/>
      <c r="O1026" s="415"/>
    </row>
    <row r="1027" customFormat="1" ht="20" hidden="1" customHeight="1" spans="1:17">
      <c r="A1027" s="440">
        <v>2160602</v>
      </c>
      <c r="B1027" s="239" t="s">
        <v>732</v>
      </c>
      <c r="C1027" s="461">
        <v>0</v>
      </c>
      <c r="D1027" s="461"/>
      <c r="E1027" s="461">
        <v>0</v>
      </c>
      <c r="F1027" s="457"/>
      <c r="G1027" s="458">
        <f t="shared" si="66"/>
        <v>0</v>
      </c>
      <c r="H1027" s="457"/>
      <c r="I1027" s="461"/>
      <c r="J1027" s="459">
        <f t="shared" si="65"/>
        <v>0</v>
      </c>
      <c r="K1027" s="460"/>
      <c r="M1027">
        <f t="shared" si="67"/>
        <v>0</v>
      </c>
      <c r="N1027" s="415"/>
      <c r="O1027" s="415"/>
    </row>
    <row r="1028" customFormat="1" ht="20" hidden="1" customHeight="1" spans="1:17">
      <c r="A1028" s="440">
        <v>2160603</v>
      </c>
      <c r="B1028" s="239" t="s">
        <v>733</v>
      </c>
      <c r="C1028" s="461">
        <v>0</v>
      </c>
      <c r="D1028" s="461"/>
      <c r="E1028" s="461">
        <v>0</v>
      </c>
      <c r="F1028" s="457"/>
      <c r="G1028" s="458">
        <f t="shared" si="66"/>
        <v>0</v>
      </c>
      <c r="H1028" s="457"/>
      <c r="I1028" s="461"/>
      <c r="J1028" s="459">
        <f t="shared" si="65"/>
        <v>0</v>
      </c>
      <c r="K1028" s="460"/>
      <c r="M1028">
        <f t="shared" si="67"/>
        <v>0</v>
      </c>
      <c r="N1028" s="415"/>
      <c r="O1028" s="415"/>
    </row>
    <row r="1029" customFormat="1" ht="20" hidden="1" customHeight="1" spans="1:17">
      <c r="A1029" s="440">
        <v>2160607</v>
      </c>
      <c r="B1029" s="239" t="s">
        <v>935</v>
      </c>
      <c r="C1029" s="461">
        <v>0</v>
      </c>
      <c r="D1029" s="461"/>
      <c r="E1029" s="461">
        <v>0</v>
      </c>
      <c r="F1029" s="457"/>
      <c r="G1029" s="458">
        <f t="shared" si="66"/>
        <v>0</v>
      </c>
      <c r="H1029" s="457"/>
      <c r="I1029" s="461"/>
      <c r="J1029" s="459">
        <f t="shared" si="65"/>
        <v>0</v>
      </c>
      <c r="K1029" s="460"/>
      <c r="M1029">
        <f t="shared" si="67"/>
        <v>0</v>
      </c>
      <c r="N1029" s="415"/>
      <c r="O1029" s="415"/>
    </row>
    <row r="1030" customFormat="1" ht="20" hidden="1" customHeight="1" spans="1:17">
      <c r="A1030" s="440">
        <v>2160699</v>
      </c>
      <c r="B1030" s="239" t="s">
        <v>936</v>
      </c>
      <c r="C1030" s="461">
        <v>0</v>
      </c>
      <c r="D1030" s="461"/>
      <c r="E1030" s="461">
        <v>0</v>
      </c>
      <c r="F1030" s="457"/>
      <c r="G1030" s="458">
        <f t="shared" si="66"/>
        <v>0</v>
      </c>
      <c r="H1030" s="457"/>
      <c r="I1030" s="461"/>
      <c r="J1030" s="459">
        <f t="shared" si="65"/>
        <v>0</v>
      </c>
      <c r="K1030" s="460"/>
      <c r="M1030">
        <f t="shared" si="67"/>
        <v>0</v>
      </c>
      <c r="N1030" s="415"/>
      <c r="O1030" s="415"/>
    </row>
    <row r="1031" customFormat="1" ht="20" hidden="1" customHeight="1" spans="1:17">
      <c r="A1031" s="437">
        <v>21699</v>
      </c>
      <c r="B1031" s="427" t="s">
        <v>937</v>
      </c>
      <c r="C1031" s="461">
        <v>0</v>
      </c>
      <c r="D1031" s="461"/>
      <c r="E1031" s="461">
        <v>0</v>
      </c>
      <c r="F1031" s="457"/>
      <c r="G1031" s="458">
        <f t="shared" si="66"/>
        <v>0</v>
      </c>
      <c r="H1031" s="457"/>
      <c r="I1031" s="461"/>
      <c r="J1031" s="459">
        <f t="shared" ref="J1031:J1094" si="68">I1031-D1031</f>
        <v>0</v>
      </c>
      <c r="K1031" s="460"/>
      <c r="M1031">
        <f t="shared" si="67"/>
        <v>0</v>
      </c>
      <c r="N1031" s="415"/>
      <c r="O1031" s="415"/>
    </row>
    <row r="1032" customFormat="1" ht="20" hidden="1" customHeight="1" spans="1:17">
      <c r="A1032" s="440">
        <v>2169901</v>
      </c>
      <c r="B1032" s="239" t="s">
        <v>938</v>
      </c>
      <c r="C1032" s="461">
        <v>0</v>
      </c>
      <c r="D1032" s="461"/>
      <c r="E1032" s="461">
        <v>0</v>
      </c>
      <c r="F1032" s="457"/>
      <c r="G1032" s="458">
        <f t="shared" ref="G1032:G1095" si="69">E1032-C1032</f>
        <v>0</v>
      </c>
      <c r="H1032" s="457"/>
      <c r="I1032" s="461"/>
      <c r="J1032" s="459">
        <f t="shared" si="68"/>
        <v>0</v>
      </c>
      <c r="K1032" s="460"/>
      <c r="M1032">
        <f t="shared" si="67"/>
        <v>0</v>
      </c>
      <c r="N1032" s="415"/>
      <c r="O1032" s="415"/>
    </row>
    <row r="1033" customFormat="1" ht="20" hidden="1" customHeight="1" spans="1:17">
      <c r="A1033" s="440">
        <v>2169999</v>
      </c>
      <c r="B1033" s="239" t="s">
        <v>939</v>
      </c>
      <c r="C1033" s="461">
        <v>0</v>
      </c>
      <c r="D1033" s="461"/>
      <c r="E1033" s="461">
        <v>0</v>
      </c>
      <c r="F1033" s="457"/>
      <c r="G1033" s="458">
        <f t="shared" si="69"/>
        <v>0</v>
      </c>
      <c r="H1033" s="457"/>
      <c r="I1033" s="461"/>
      <c r="J1033" s="459">
        <f t="shared" si="68"/>
        <v>0</v>
      </c>
      <c r="K1033" s="460"/>
      <c r="M1033">
        <f t="shared" si="67"/>
        <v>0</v>
      </c>
      <c r="N1033" s="415"/>
      <c r="O1033" s="415"/>
    </row>
    <row r="1034" s="278" customFormat="1" ht="20" customHeight="1" spans="1:17">
      <c r="A1034" s="412">
        <v>217</v>
      </c>
      <c r="B1034" s="413" t="s">
        <v>940</v>
      </c>
      <c r="C1034" s="346">
        <f>SUM(C1035:C1037)</f>
        <v>2275.834001</v>
      </c>
      <c r="D1034" s="346">
        <f>SUM(D1035:D1037)</f>
        <v>0</v>
      </c>
      <c r="E1034" s="346">
        <f>SUM(E1035:E1037)</f>
        <v>917</v>
      </c>
      <c r="F1034" s="414"/>
      <c r="G1034" s="346">
        <f t="shared" si="69"/>
        <v>-1358.834001</v>
      </c>
      <c r="H1034" s="414">
        <f>G1034/C1034*100</f>
        <v>-59.7070788292525</v>
      </c>
      <c r="I1034" s="346">
        <f>SUM(I1035:I1037)</f>
        <v>0</v>
      </c>
      <c r="J1034" s="307">
        <f t="shared" si="68"/>
        <v>0</v>
      </c>
      <c r="K1034" s="306"/>
      <c r="M1034" s="278">
        <f t="shared" si="67"/>
        <v>0</v>
      </c>
      <c r="N1034" s="415"/>
      <c r="O1034" s="415"/>
    </row>
    <row r="1035" customFormat="1" ht="20" hidden="1" customHeight="1" spans="1:17">
      <c r="A1035" s="437">
        <v>21701</v>
      </c>
      <c r="B1035" s="427" t="s">
        <v>941</v>
      </c>
      <c r="C1035" s="461">
        <v>0</v>
      </c>
      <c r="D1035" s="461"/>
      <c r="E1035" s="461">
        <v>25</v>
      </c>
      <c r="F1035" s="457"/>
      <c r="G1035" s="458">
        <f t="shared" si="69"/>
        <v>25</v>
      </c>
      <c r="H1035" s="457"/>
      <c r="I1035" s="461"/>
      <c r="J1035" s="459">
        <f t="shared" si="68"/>
        <v>0</v>
      </c>
      <c r="K1035" s="460"/>
      <c r="M1035">
        <f t="shared" si="67"/>
        <v>0</v>
      </c>
      <c r="N1035" s="415"/>
      <c r="O1035" s="415"/>
    </row>
    <row r="1036" customFormat="1" ht="20" hidden="1" customHeight="1" spans="1:17">
      <c r="A1036" s="437">
        <v>21703</v>
      </c>
      <c r="B1036" s="427" t="s">
        <v>942</v>
      </c>
      <c r="C1036" s="461">
        <v>2275.834001</v>
      </c>
      <c r="D1036" s="461"/>
      <c r="E1036" s="461">
        <v>892</v>
      </c>
      <c r="F1036" s="457"/>
      <c r="G1036" s="458">
        <f t="shared" si="69"/>
        <v>-1383.834001</v>
      </c>
      <c r="H1036" s="457">
        <f>G1036/C1036*100</f>
        <v>-60.8055772254015</v>
      </c>
      <c r="I1036" s="461"/>
      <c r="J1036" s="459">
        <f t="shared" si="68"/>
        <v>0</v>
      </c>
      <c r="K1036" s="460"/>
      <c r="M1036">
        <f t="shared" si="67"/>
        <v>0</v>
      </c>
      <c r="N1036" s="415"/>
      <c r="O1036" s="415"/>
      <c r="Q1036">
        <v>963</v>
      </c>
    </row>
    <row r="1037" customFormat="1" ht="20" hidden="1" customHeight="1" spans="1:17">
      <c r="A1037" s="437">
        <v>21799</v>
      </c>
      <c r="B1037" s="427" t="s">
        <v>943</v>
      </c>
      <c r="C1037" s="461">
        <v>0</v>
      </c>
      <c r="D1037" s="461"/>
      <c r="E1037" s="461">
        <v>0</v>
      </c>
      <c r="F1037" s="457"/>
      <c r="G1037" s="458">
        <f t="shared" si="69"/>
        <v>0</v>
      </c>
      <c r="H1037" s="457"/>
      <c r="I1037" s="461"/>
      <c r="J1037" s="459">
        <f t="shared" si="68"/>
        <v>0</v>
      </c>
      <c r="K1037" s="460"/>
      <c r="M1037">
        <f t="shared" si="67"/>
        <v>0</v>
      </c>
      <c r="N1037" s="415"/>
      <c r="O1037" s="415"/>
    </row>
    <row r="1038" s="278" customFormat="1" ht="20" customHeight="1" spans="1:17">
      <c r="A1038" s="412">
        <v>220</v>
      </c>
      <c r="B1038" s="413" t="s">
        <v>944</v>
      </c>
      <c r="C1038" s="346">
        <f>SUM(C1039:C1071)/2</f>
        <v>4943.301918</v>
      </c>
      <c r="D1038" s="346">
        <f>SUM(D1039:D1071)/2</f>
        <v>777.809843</v>
      </c>
      <c r="E1038" s="346">
        <f>SUM(E1039:E1071)/2</f>
        <v>1847</v>
      </c>
      <c r="F1038" s="414">
        <f>E1038/D1038*100</f>
        <v>237.461638808292</v>
      </c>
      <c r="G1038" s="346">
        <f t="shared" si="69"/>
        <v>-3096.301918</v>
      </c>
      <c r="H1038" s="414">
        <f>G1038/C1038*100</f>
        <v>-62.6363100891221</v>
      </c>
      <c r="I1038" s="346">
        <f>SUM(I1039:I1071)/2</f>
        <v>1921.347645</v>
      </c>
      <c r="J1038" s="307">
        <f t="shared" si="68"/>
        <v>1143.537802</v>
      </c>
      <c r="K1038" s="306">
        <f>J1038/D1038*100</f>
        <v>147.020227667651</v>
      </c>
      <c r="M1038" s="278">
        <f t="shared" si="67"/>
        <v>0</v>
      </c>
      <c r="N1038" s="415"/>
      <c r="O1038" s="415"/>
    </row>
    <row r="1039" customFormat="1" ht="20" hidden="1" customHeight="1" spans="1:17">
      <c r="A1039" s="437">
        <v>22001</v>
      </c>
      <c r="B1039" s="427" t="s">
        <v>945</v>
      </c>
      <c r="C1039" s="461">
        <f>SUM(C1040:C1055)</f>
        <v>4899.892863</v>
      </c>
      <c r="D1039" s="461">
        <f>SUM(D1040:D1055)</f>
        <v>764.600818</v>
      </c>
      <c r="E1039" s="461">
        <f>SUM(E1040:E1055)</f>
        <v>1767</v>
      </c>
      <c r="F1039" s="457">
        <f>E1039/D1039*100</f>
        <v>231.100982159818</v>
      </c>
      <c r="G1039" s="458">
        <f t="shared" si="69"/>
        <v>-3132.892863</v>
      </c>
      <c r="H1039" s="457">
        <f>G1039/C1039*100</f>
        <v>-63.9379870253298</v>
      </c>
      <c r="I1039" s="461">
        <f>SUM(I1040:I1055)</f>
        <v>1921.347645</v>
      </c>
      <c r="J1039" s="459">
        <f t="shared" si="68"/>
        <v>1156.746827</v>
      </c>
      <c r="K1039" s="460">
        <f>J1039/D1039*100</f>
        <v>151.287678454982</v>
      </c>
      <c r="M1039">
        <f t="shared" si="67"/>
        <v>0</v>
      </c>
      <c r="N1039" s="415"/>
      <c r="O1039" s="415"/>
    </row>
    <row r="1040" s="278" customFormat="1" ht="20" hidden="1" customHeight="1" spans="1:17">
      <c r="A1040" s="438">
        <v>2200101</v>
      </c>
      <c r="B1040" s="422" t="s">
        <v>731</v>
      </c>
      <c r="C1040" s="461">
        <v>321.332045</v>
      </c>
      <c r="D1040" s="466">
        <v>178.823245</v>
      </c>
      <c r="E1040" s="461">
        <v>194</v>
      </c>
      <c r="F1040" s="457">
        <f>E1040/D1040*100</f>
        <v>108.487014649578</v>
      </c>
      <c r="G1040" s="458">
        <f t="shared" si="69"/>
        <v>-127.332045</v>
      </c>
      <c r="H1040" s="457">
        <f>G1040/C1040*100</f>
        <v>-39.6263139581986</v>
      </c>
      <c r="I1040" s="462">
        <v>170.663605</v>
      </c>
      <c r="J1040" s="459">
        <f t="shared" si="68"/>
        <v>-8.15964</v>
      </c>
      <c r="K1040" s="460">
        <f>J1040/D1040*100</f>
        <v>-4.56296383616123</v>
      </c>
      <c r="M1040" s="278">
        <f t="shared" si="67"/>
        <v>400</v>
      </c>
      <c r="N1040" s="415">
        <v>400</v>
      </c>
      <c r="O1040" s="415"/>
    </row>
    <row r="1041" s="278" customFormat="1" ht="20" hidden="1" customHeight="1" spans="1:17">
      <c r="A1041" s="438">
        <v>2200102</v>
      </c>
      <c r="B1041" s="422" t="s">
        <v>732</v>
      </c>
      <c r="C1041" s="461">
        <v>292.507585</v>
      </c>
      <c r="D1041" s="466">
        <v>30.101097</v>
      </c>
      <c r="E1041" s="461">
        <v>139</v>
      </c>
      <c r="F1041" s="457">
        <f>E1041/D1041*100</f>
        <v>461.777190379474</v>
      </c>
      <c r="G1041" s="458">
        <f t="shared" si="69"/>
        <v>-153.507585</v>
      </c>
      <c r="H1041" s="457">
        <f>G1041/C1041*100</f>
        <v>-52.4798647529089</v>
      </c>
      <c r="I1041" s="462">
        <v>110.846618</v>
      </c>
      <c r="J1041" s="459">
        <f t="shared" si="68"/>
        <v>80.745521</v>
      </c>
      <c r="K1041" s="460">
        <f>J1041/D1041*100</f>
        <v>268.24776851156</v>
      </c>
      <c r="M1041" s="278">
        <f t="shared" si="67"/>
        <v>0</v>
      </c>
      <c r="N1041" s="415"/>
      <c r="O1041" s="415"/>
    </row>
    <row r="1042" s="278" customFormat="1" ht="20" hidden="1" customHeight="1" spans="1:17">
      <c r="A1042" s="438">
        <v>2200103</v>
      </c>
      <c r="B1042" s="422" t="s">
        <v>733</v>
      </c>
      <c r="C1042" s="461">
        <v>0</v>
      </c>
      <c r="D1042" s="461"/>
      <c r="E1042" s="461"/>
      <c r="F1042" s="457"/>
      <c r="G1042" s="458">
        <f t="shared" si="69"/>
        <v>0</v>
      </c>
      <c r="H1042" s="457"/>
      <c r="I1042" s="461"/>
      <c r="J1042" s="459">
        <f t="shared" si="68"/>
        <v>0</v>
      </c>
      <c r="K1042" s="460"/>
      <c r="M1042" s="278">
        <f t="shared" si="67"/>
        <v>0</v>
      </c>
      <c r="N1042" s="415"/>
      <c r="O1042" s="415"/>
    </row>
    <row r="1043" s="278" customFormat="1" ht="20" hidden="1" customHeight="1" spans="1:17">
      <c r="A1043" s="438">
        <v>2200104</v>
      </c>
      <c r="B1043" s="422" t="s">
        <v>946</v>
      </c>
      <c r="C1043" s="461">
        <v>157.209435</v>
      </c>
      <c r="D1043" s="461"/>
      <c r="E1043" s="461">
        <v>75</v>
      </c>
      <c r="F1043" s="457"/>
      <c r="G1043" s="458">
        <f t="shared" si="69"/>
        <v>-82.209435</v>
      </c>
      <c r="H1043" s="457">
        <f>G1043/C1043*100</f>
        <v>-52.2929396699378</v>
      </c>
      <c r="I1043" s="461"/>
      <c r="J1043" s="459">
        <f t="shared" si="68"/>
        <v>0</v>
      </c>
      <c r="K1043" s="460"/>
      <c r="M1043" s="278">
        <f t="shared" si="67"/>
        <v>0</v>
      </c>
      <c r="N1043" s="415"/>
      <c r="O1043" s="415"/>
      <c r="Q1043" s="278">
        <v>170</v>
      </c>
    </row>
    <row r="1044" s="278" customFormat="1" ht="20" hidden="1" customHeight="1" spans="1:17">
      <c r="A1044" s="438">
        <v>2200106</v>
      </c>
      <c r="B1044" s="422" t="s">
        <v>947</v>
      </c>
      <c r="C1044" s="461">
        <v>1358.990998</v>
      </c>
      <c r="D1044" s="466">
        <v>224.630452</v>
      </c>
      <c r="E1044" s="461">
        <v>898</v>
      </c>
      <c r="F1044" s="457">
        <f>E1044/D1044*100</f>
        <v>399.767703801798</v>
      </c>
      <c r="G1044" s="458">
        <f t="shared" si="69"/>
        <v>-460.990998</v>
      </c>
      <c r="H1044" s="457">
        <f>G1044/C1044*100</f>
        <v>-33.9215637688867</v>
      </c>
      <c r="I1044" s="462">
        <f>227.7064+589.99+360</f>
        <v>1177.6964</v>
      </c>
      <c r="J1044" s="459">
        <f t="shared" si="68"/>
        <v>953.065948</v>
      </c>
      <c r="K1044" s="460">
        <f>J1044/D1044*100</f>
        <v>424.281721162187</v>
      </c>
      <c r="M1044" s="278">
        <f t="shared" si="67"/>
        <v>202</v>
      </c>
      <c r="N1044" s="415">
        <v>202</v>
      </c>
      <c r="O1044" s="415"/>
      <c r="P1044" s="278">
        <v>777</v>
      </c>
      <c r="Q1044" s="278">
        <v>66</v>
      </c>
    </row>
    <row r="1045" s="278" customFormat="1" ht="20" hidden="1" customHeight="1" spans="1:17">
      <c r="A1045" s="438">
        <v>2200107</v>
      </c>
      <c r="B1045" s="422" t="s">
        <v>948</v>
      </c>
      <c r="C1045" s="461">
        <v>0</v>
      </c>
      <c r="D1045" s="461"/>
      <c r="E1045" s="461"/>
      <c r="F1045" s="457"/>
      <c r="G1045" s="458">
        <f t="shared" si="69"/>
        <v>0</v>
      </c>
      <c r="H1045" s="457"/>
      <c r="I1045" s="461"/>
      <c r="J1045" s="459">
        <f t="shared" si="68"/>
        <v>0</v>
      </c>
      <c r="K1045" s="460"/>
      <c r="M1045" s="278">
        <f t="shared" si="67"/>
        <v>0</v>
      </c>
      <c r="N1045" s="415"/>
      <c r="O1045" s="415"/>
    </row>
    <row r="1046" s="278" customFormat="1" ht="20" hidden="1" customHeight="1" spans="1:17">
      <c r="A1046" s="438">
        <v>2200108</v>
      </c>
      <c r="B1046" s="422" t="s">
        <v>949</v>
      </c>
      <c r="C1046" s="461">
        <v>0</v>
      </c>
      <c r="D1046" s="461"/>
      <c r="E1046" s="461"/>
      <c r="F1046" s="457"/>
      <c r="G1046" s="458">
        <f t="shared" si="69"/>
        <v>0</v>
      </c>
      <c r="H1046" s="457"/>
      <c r="I1046" s="461"/>
      <c r="J1046" s="459">
        <f t="shared" si="68"/>
        <v>0</v>
      </c>
      <c r="K1046" s="460"/>
      <c r="M1046" s="278">
        <f t="shared" si="67"/>
        <v>0</v>
      </c>
      <c r="N1046" s="415"/>
      <c r="O1046" s="415"/>
    </row>
    <row r="1047" s="278" customFormat="1" ht="20" hidden="1" customHeight="1" spans="1:17">
      <c r="A1047" s="438">
        <v>2200109</v>
      </c>
      <c r="B1047" s="422" t="s">
        <v>950</v>
      </c>
      <c r="C1047" s="461">
        <v>234.800424</v>
      </c>
      <c r="D1047" s="466">
        <v>206.56564</v>
      </c>
      <c r="E1047" s="461">
        <v>305</v>
      </c>
      <c r="F1047" s="457">
        <f>E1047/D1047*100</f>
        <v>147.652823577048</v>
      </c>
      <c r="G1047" s="458">
        <f t="shared" si="69"/>
        <v>70.199576</v>
      </c>
      <c r="H1047" s="457">
        <f>G1047/C1047*100</f>
        <v>29.8975507812541</v>
      </c>
      <c r="I1047" s="466">
        <v>316.03</v>
      </c>
      <c r="J1047" s="459">
        <f t="shared" si="68"/>
        <v>109.46436</v>
      </c>
      <c r="K1047" s="460">
        <f>J1047/D1047*100</f>
        <v>52.9925306067359</v>
      </c>
      <c r="M1047" s="278">
        <f t="shared" si="67"/>
        <v>251</v>
      </c>
      <c r="N1047" s="415">
        <v>251</v>
      </c>
      <c r="O1047" s="415"/>
    </row>
    <row r="1048" s="278" customFormat="1" ht="20" hidden="1" customHeight="1" spans="1:17">
      <c r="A1048" s="438">
        <v>2200112</v>
      </c>
      <c r="B1048" s="422" t="s">
        <v>951</v>
      </c>
      <c r="C1048" s="461">
        <v>1528.315739</v>
      </c>
      <c r="D1048" s="466">
        <v>96.440714</v>
      </c>
      <c r="E1048" s="461">
        <v>126</v>
      </c>
      <c r="F1048" s="457">
        <f>E1048/D1048*100</f>
        <v>130.650214804507</v>
      </c>
      <c r="G1048" s="458">
        <f t="shared" si="69"/>
        <v>-1402.315739</v>
      </c>
      <c r="H1048" s="457">
        <f>G1048/C1048*100</f>
        <v>-91.7556302807924</v>
      </c>
      <c r="I1048" s="462">
        <v>115.678133</v>
      </c>
      <c r="J1048" s="459">
        <f t="shared" si="68"/>
        <v>19.237419</v>
      </c>
      <c r="K1048" s="460">
        <f>J1048/D1048*100</f>
        <v>19.9474041637643</v>
      </c>
      <c r="M1048" s="278">
        <f t="shared" si="67"/>
        <v>125</v>
      </c>
      <c r="N1048" s="415">
        <v>125</v>
      </c>
      <c r="O1048" s="415"/>
    </row>
    <row r="1049" s="278" customFormat="1" ht="20" hidden="1" customHeight="1" spans="1:17">
      <c r="A1049" s="438">
        <v>2200113</v>
      </c>
      <c r="B1049" s="422" t="s">
        <v>952</v>
      </c>
      <c r="C1049" s="461">
        <v>0</v>
      </c>
      <c r="D1049" s="461"/>
      <c r="E1049" s="461"/>
      <c r="F1049" s="457"/>
      <c r="G1049" s="458">
        <f t="shared" si="69"/>
        <v>0</v>
      </c>
      <c r="H1049" s="457"/>
      <c r="I1049" s="461"/>
      <c r="J1049" s="459">
        <f t="shared" si="68"/>
        <v>0</v>
      </c>
      <c r="K1049" s="460"/>
      <c r="M1049" s="278">
        <f t="shared" si="67"/>
        <v>0</v>
      </c>
      <c r="N1049" s="415"/>
      <c r="O1049" s="415"/>
    </row>
    <row r="1050" s="278" customFormat="1" ht="20" hidden="1" customHeight="1" spans="1:17">
      <c r="A1050" s="438">
        <v>2200114</v>
      </c>
      <c r="B1050" s="422" t="s">
        <v>953</v>
      </c>
      <c r="C1050" s="461">
        <v>0</v>
      </c>
      <c r="D1050" s="461"/>
      <c r="E1050" s="461"/>
      <c r="F1050" s="457"/>
      <c r="G1050" s="458">
        <f t="shared" si="69"/>
        <v>0</v>
      </c>
      <c r="H1050" s="457"/>
      <c r="I1050" s="461"/>
      <c r="J1050" s="459">
        <f t="shared" si="68"/>
        <v>0</v>
      </c>
      <c r="K1050" s="460"/>
      <c r="M1050" s="278">
        <f t="shared" si="67"/>
        <v>0</v>
      </c>
      <c r="N1050" s="415"/>
      <c r="O1050" s="415"/>
    </row>
    <row r="1051" s="278" customFormat="1" ht="20" hidden="1" customHeight="1" spans="1:17">
      <c r="A1051" s="438">
        <v>2200115</v>
      </c>
      <c r="B1051" s="422" t="s">
        <v>954</v>
      </c>
      <c r="C1051" s="461">
        <v>0</v>
      </c>
      <c r="D1051" s="461"/>
      <c r="E1051" s="461"/>
      <c r="F1051" s="457"/>
      <c r="G1051" s="458">
        <f t="shared" si="69"/>
        <v>0</v>
      </c>
      <c r="H1051" s="457"/>
      <c r="I1051" s="461"/>
      <c r="J1051" s="459">
        <f t="shared" si="68"/>
        <v>0</v>
      </c>
      <c r="K1051" s="460"/>
      <c r="M1051" s="278">
        <f t="shared" si="67"/>
        <v>0</v>
      </c>
      <c r="N1051" s="415"/>
      <c r="O1051" s="415"/>
    </row>
    <row r="1052" s="278" customFormat="1" ht="20" hidden="1" customHeight="1" spans="1:17">
      <c r="A1052" s="438">
        <v>2200116</v>
      </c>
      <c r="B1052" s="422" t="s">
        <v>955</v>
      </c>
      <c r="C1052" s="461">
        <v>0</v>
      </c>
      <c r="D1052" s="461"/>
      <c r="E1052" s="461"/>
      <c r="F1052" s="457"/>
      <c r="G1052" s="458">
        <f t="shared" si="69"/>
        <v>0</v>
      </c>
      <c r="H1052" s="457"/>
      <c r="I1052" s="461"/>
      <c r="J1052" s="459">
        <f t="shared" si="68"/>
        <v>0</v>
      </c>
      <c r="K1052" s="460"/>
      <c r="M1052" s="278">
        <f t="shared" si="67"/>
        <v>0</v>
      </c>
      <c r="N1052" s="415"/>
      <c r="O1052" s="415"/>
    </row>
    <row r="1053" s="278" customFormat="1" ht="20" hidden="1" customHeight="1" spans="1:17">
      <c r="A1053" s="438">
        <v>2200119</v>
      </c>
      <c r="B1053" s="422" t="s">
        <v>956</v>
      </c>
      <c r="C1053" s="461">
        <v>0</v>
      </c>
      <c r="D1053" s="461"/>
      <c r="E1053" s="461"/>
      <c r="F1053" s="457"/>
      <c r="G1053" s="458">
        <f t="shared" si="69"/>
        <v>0</v>
      </c>
      <c r="H1053" s="457"/>
      <c r="I1053" s="461"/>
      <c r="J1053" s="459">
        <f t="shared" si="68"/>
        <v>0</v>
      </c>
      <c r="K1053" s="460"/>
      <c r="M1053" s="278">
        <f t="shared" si="67"/>
        <v>0</v>
      </c>
      <c r="N1053" s="415"/>
      <c r="O1053" s="415"/>
    </row>
    <row r="1054" s="278" customFormat="1" ht="20" hidden="1" customHeight="1" spans="1:17">
      <c r="A1054" s="438">
        <v>2200150</v>
      </c>
      <c r="B1054" s="422" t="s">
        <v>750</v>
      </c>
      <c r="C1054" s="461">
        <v>28.119037</v>
      </c>
      <c r="D1054" s="466">
        <v>28.03967</v>
      </c>
      <c r="E1054" s="461">
        <v>30</v>
      </c>
      <c r="F1054" s="457">
        <f>E1054/D1054*100</f>
        <v>106.991273435101</v>
      </c>
      <c r="G1054" s="458">
        <f t="shared" si="69"/>
        <v>1.880963</v>
      </c>
      <c r="H1054" s="457">
        <f>G1054/C1054*100</f>
        <v>6.68928669214384</v>
      </c>
      <c r="I1054" s="462">
        <v>30.432889</v>
      </c>
      <c r="J1054" s="459">
        <f t="shared" si="68"/>
        <v>2.393219</v>
      </c>
      <c r="K1054" s="460">
        <f>J1054/D1054*100</f>
        <v>8.53511828063596</v>
      </c>
      <c r="M1054" s="278">
        <f t="shared" si="67"/>
        <v>28</v>
      </c>
      <c r="N1054" s="415">
        <v>28</v>
      </c>
      <c r="O1054" s="415"/>
    </row>
    <row r="1055" s="278" customFormat="1" ht="20" hidden="1" customHeight="1" spans="1:17">
      <c r="A1055" s="438">
        <v>2200199</v>
      </c>
      <c r="B1055" s="422" t="s">
        <v>957</v>
      </c>
      <c r="C1055" s="461">
        <v>978.6176</v>
      </c>
      <c r="D1055" s="461"/>
      <c r="E1055" s="461"/>
      <c r="F1055" s="457"/>
      <c r="G1055" s="458">
        <f t="shared" si="69"/>
        <v>-978.6176</v>
      </c>
      <c r="H1055" s="457">
        <f>G1055/C1055*100</f>
        <v>-100</v>
      </c>
      <c r="I1055" s="461"/>
      <c r="J1055" s="459">
        <f t="shared" si="68"/>
        <v>0</v>
      </c>
      <c r="K1055" s="460"/>
      <c r="M1055" s="278">
        <f t="shared" si="67"/>
        <v>0</v>
      </c>
      <c r="N1055" s="415"/>
      <c r="O1055" s="415"/>
    </row>
    <row r="1056" customFormat="1" ht="20" hidden="1" customHeight="1" spans="1:17">
      <c r="A1056" s="437">
        <v>22005</v>
      </c>
      <c r="B1056" s="427" t="s">
        <v>958</v>
      </c>
      <c r="C1056" s="470">
        <f>SUM(C1057:C1070)</f>
        <v>43.409055</v>
      </c>
      <c r="D1056" s="470">
        <f>SUM(D1057:D1070)</f>
        <v>13.209025</v>
      </c>
      <c r="E1056" s="470">
        <f>SUM(E1057:E1070)</f>
        <v>80</v>
      </c>
      <c r="F1056" s="457">
        <f>E1056/D1056*100</f>
        <v>605.646518194946</v>
      </c>
      <c r="G1056" s="458">
        <f t="shared" si="69"/>
        <v>36.590945</v>
      </c>
      <c r="H1056" s="457">
        <f>G1056/C1056*100</f>
        <v>84.2933461693649</v>
      </c>
      <c r="I1056" s="470">
        <f>SUM(I1057:I1070)</f>
        <v>0</v>
      </c>
      <c r="J1056" s="459">
        <f t="shared" si="68"/>
        <v>-13.209025</v>
      </c>
      <c r="K1056" s="460">
        <f>J1056/D1056*100</f>
        <v>-100</v>
      </c>
      <c r="M1056">
        <f t="shared" si="67"/>
        <v>0</v>
      </c>
      <c r="N1056" s="415"/>
      <c r="O1056" s="415"/>
    </row>
    <row r="1057" s="278" customFormat="1" ht="20" hidden="1" customHeight="1" spans="1:15">
      <c r="A1057" s="438">
        <v>2200501</v>
      </c>
      <c r="B1057" s="422" t="s">
        <v>731</v>
      </c>
      <c r="C1057" s="474">
        <v>39.77623</v>
      </c>
      <c r="D1057" s="461">
        <f>12.717825+0.4912</f>
        <v>13.209025</v>
      </c>
      <c r="E1057" s="474">
        <v>80</v>
      </c>
      <c r="F1057" s="457">
        <f>E1057/D1057*100</f>
        <v>605.646518194946</v>
      </c>
      <c r="G1057" s="458">
        <f t="shared" si="69"/>
        <v>40.22377</v>
      </c>
      <c r="H1057" s="457">
        <f>G1057/C1057*100</f>
        <v>101.125144338717</v>
      </c>
      <c r="I1057" s="461"/>
      <c r="J1057" s="459">
        <f t="shared" si="68"/>
        <v>-13.209025</v>
      </c>
      <c r="K1057" s="460">
        <f>J1057/D1057*100</f>
        <v>-100</v>
      </c>
      <c r="M1057" s="278">
        <f t="shared" si="67"/>
        <v>36</v>
      </c>
      <c r="N1057" s="415">
        <v>36</v>
      </c>
      <c r="O1057" s="415"/>
    </row>
    <row r="1058" s="278" customFormat="1" ht="20" hidden="1" customHeight="1" spans="1:15">
      <c r="A1058" s="438">
        <v>2200502</v>
      </c>
      <c r="B1058" s="422" t="s">
        <v>732</v>
      </c>
      <c r="C1058" s="474">
        <v>3.632825</v>
      </c>
      <c r="D1058" s="461"/>
      <c r="E1058" s="474"/>
      <c r="F1058" s="457"/>
      <c r="G1058" s="458">
        <f t="shared" si="69"/>
        <v>-3.632825</v>
      </c>
      <c r="H1058" s="457">
        <f>G1058/C1058*100</f>
        <v>-100</v>
      </c>
      <c r="I1058" s="461"/>
      <c r="J1058" s="459">
        <f t="shared" si="68"/>
        <v>0</v>
      </c>
      <c r="K1058" s="460"/>
      <c r="M1058" s="278">
        <f t="shared" si="67"/>
        <v>0</v>
      </c>
      <c r="N1058" s="415"/>
      <c r="O1058" s="415"/>
    </row>
    <row r="1059" s="278" customFormat="1" ht="20" hidden="1" customHeight="1" spans="1:15">
      <c r="A1059" s="438">
        <v>2200503</v>
      </c>
      <c r="B1059" s="422" t="s">
        <v>733</v>
      </c>
      <c r="C1059" s="474">
        <v>0</v>
      </c>
      <c r="D1059" s="461"/>
      <c r="E1059" s="474">
        <v>0</v>
      </c>
      <c r="F1059" s="457"/>
      <c r="G1059" s="458">
        <f t="shared" si="69"/>
        <v>0</v>
      </c>
      <c r="H1059" s="457"/>
      <c r="I1059" s="461"/>
      <c r="J1059" s="459">
        <f t="shared" si="68"/>
        <v>0</v>
      </c>
      <c r="K1059" s="460"/>
      <c r="M1059" s="278">
        <f t="shared" si="67"/>
        <v>0</v>
      </c>
      <c r="N1059" s="415"/>
      <c r="O1059" s="415"/>
    </row>
    <row r="1060" s="278" customFormat="1" ht="20" hidden="1" customHeight="1" spans="1:15">
      <c r="A1060" s="438">
        <v>2200504</v>
      </c>
      <c r="B1060" s="422" t="s">
        <v>959</v>
      </c>
      <c r="C1060" s="474">
        <v>0</v>
      </c>
      <c r="D1060" s="461"/>
      <c r="E1060" s="474">
        <v>0</v>
      </c>
      <c r="F1060" s="457"/>
      <c r="G1060" s="458">
        <f t="shared" si="69"/>
        <v>0</v>
      </c>
      <c r="H1060" s="457"/>
      <c r="I1060" s="461"/>
      <c r="J1060" s="459">
        <f t="shared" si="68"/>
        <v>0</v>
      </c>
      <c r="K1060" s="460"/>
      <c r="M1060" s="278">
        <f t="shared" si="67"/>
        <v>0</v>
      </c>
      <c r="N1060" s="415"/>
      <c r="O1060" s="415"/>
    </row>
    <row r="1061" s="278" customFormat="1" ht="20" hidden="1" customHeight="1" spans="1:15">
      <c r="A1061" s="438">
        <v>2200506</v>
      </c>
      <c r="B1061" s="422" t="s">
        <v>960</v>
      </c>
      <c r="C1061" s="474">
        <v>0</v>
      </c>
      <c r="D1061" s="461"/>
      <c r="E1061" s="474">
        <v>0</v>
      </c>
      <c r="F1061" s="457"/>
      <c r="G1061" s="458">
        <f t="shared" si="69"/>
        <v>0</v>
      </c>
      <c r="H1061" s="457"/>
      <c r="I1061" s="461"/>
      <c r="J1061" s="459">
        <f t="shared" si="68"/>
        <v>0</v>
      </c>
      <c r="K1061" s="460"/>
      <c r="M1061" s="278">
        <f t="shared" si="67"/>
        <v>0</v>
      </c>
      <c r="N1061" s="415"/>
      <c r="O1061" s="415"/>
    </row>
    <row r="1062" s="278" customFormat="1" ht="20" hidden="1" customHeight="1" spans="1:15">
      <c r="A1062" s="438">
        <v>2200507</v>
      </c>
      <c r="B1062" s="422" t="s">
        <v>961</v>
      </c>
      <c r="C1062" s="474">
        <v>0</v>
      </c>
      <c r="D1062" s="461"/>
      <c r="E1062" s="474">
        <v>0</v>
      </c>
      <c r="F1062" s="457"/>
      <c r="G1062" s="458">
        <f t="shared" si="69"/>
        <v>0</v>
      </c>
      <c r="H1062" s="457"/>
      <c r="I1062" s="461"/>
      <c r="J1062" s="459">
        <f t="shared" si="68"/>
        <v>0</v>
      </c>
      <c r="K1062" s="460"/>
      <c r="M1062" s="278">
        <f t="shared" si="67"/>
        <v>0</v>
      </c>
      <c r="N1062" s="415"/>
      <c r="O1062" s="415"/>
    </row>
    <row r="1063" s="278" customFormat="1" ht="20" hidden="1" customHeight="1" spans="1:15">
      <c r="A1063" s="438">
        <v>2200508</v>
      </c>
      <c r="B1063" s="422" t="s">
        <v>962</v>
      </c>
      <c r="C1063" s="464">
        <v>0</v>
      </c>
      <c r="D1063" s="461"/>
      <c r="E1063" s="464">
        <v>0</v>
      </c>
      <c r="F1063" s="457"/>
      <c r="G1063" s="458">
        <f t="shared" si="69"/>
        <v>0</v>
      </c>
      <c r="H1063" s="457"/>
      <c r="I1063" s="461"/>
      <c r="J1063" s="459">
        <f t="shared" si="68"/>
        <v>0</v>
      </c>
      <c r="K1063" s="460"/>
      <c r="M1063" s="278">
        <f t="shared" si="67"/>
        <v>0</v>
      </c>
      <c r="N1063" s="415"/>
      <c r="O1063" s="415"/>
    </row>
    <row r="1064" s="278" customFormat="1" ht="20" hidden="1" customHeight="1" spans="1:15">
      <c r="A1064" s="438">
        <v>2200509</v>
      </c>
      <c r="B1064" s="422" t="s">
        <v>963</v>
      </c>
      <c r="C1064" s="464">
        <v>0</v>
      </c>
      <c r="D1064" s="461"/>
      <c r="E1064" s="464">
        <v>0</v>
      </c>
      <c r="F1064" s="457"/>
      <c r="G1064" s="458">
        <f t="shared" si="69"/>
        <v>0</v>
      </c>
      <c r="H1064" s="457"/>
      <c r="I1064" s="461"/>
      <c r="J1064" s="459">
        <f t="shared" si="68"/>
        <v>0</v>
      </c>
      <c r="K1064" s="460"/>
      <c r="M1064" s="278">
        <f t="shared" si="67"/>
        <v>0</v>
      </c>
      <c r="N1064" s="415"/>
      <c r="O1064" s="415"/>
    </row>
    <row r="1065" customFormat="1" ht="20" hidden="1" customHeight="1" spans="1:15">
      <c r="A1065" s="438">
        <v>2200510</v>
      </c>
      <c r="B1065" s="239" t="s">
        <v>964</v>
      </c>
      <c r="C1065" s="464">
        <v>0</v>
      </c>
      <c r="D1065" s="461"/>
      <c r="E1065" s="464">
        <v>0</v>
      </c>
      <c r="F1065" s="457"/>
      <c r="G1065" s="458">
        <f t="shared" si="69"/>
        <v>0</v>
      </c>
      <c r="H1065" s="457"/>
      <c r="I1065" s="461"/>
      <c r="J1065" s="459">
        <f t="shared" si="68"/>
        <v>0</v>
      </c>
      <c r="K1065" s="460"/>
      <c r="M1065">
        <f t="shared" si="67"/>
        <v>0</v>
      </c>
      <c r="N1065" s="415"/>
      <c r="O1065" s="415"/>
    </row>
    <row r="1066" customFormat="1" ht="20" hidden="1" customHeight="1" spans="1:15">
      <c r="A1066" s="438">
        <v>2200511</v>
      </c>
      <c r="B1066" s="239" t="s">
        <v>965</v>
      </c>
      <c r="C1066" s="464">
        <v>0</v>
      </c>
      <c r="D1066" s="461"/>
      <c r="E1066" s="464">
        <v>0</v>
      </c>
      <c r="F1066" s="457"/>
      <c r="G1066" s="458">
        <f t="shared" si="69"/>
        <v>0</v>
      </c>
      <c r="H1066" s="457"/>
      <c r="I1066" s="461"/>
      <c r="J1066" s="459">
        <f t="shared" si="68"/>
        <v>0</v>
      </c>
      <c r="K1066" s="460"/>
      <c r="M1066">
        <f t="shared" si="67"/>
        <v>0</v>
      </c>
      <c r="N1066" s="415"/>
      <c r="O1066" s="415"/>
    </row>
    <row r="1067" customFormat="1" ht="20" hidden="1" customHeight="1" spans="1:15">
      <c r="A1067" s="438">
        <v>2200512</v>
      </c>
      <c r="B1067" s="239" t="s">
        <v>966</v>
      </c>
      <c r="C1067" s="464">
        <v>0</v>
      </c>
      <c r="D1067" s="461"/>
      <c r="E1067" s="464">
        <v>0</v>
      </c>
      <c r="F1067" s="457"/>
      <c r="G1067" s="458">
        <f t="shared" si="69"/>
        <v>0</v>
      </c>
      <c r="H1067" s="457"/>
      <c r="I1067" s="461"/>
      <c r="J1067" s="459">
        <f t="shared" si="68"/>
        <v>0</v>
      </c>
      <c r="K1067" s="460"/>
      <c r="M1067">
        <f t="shared" si="67"/>
        <v>0</v>
      </c>
      <c r="N1067" s="415"/>
      <c r="O1067" s="415"/>
    </row>
    <row r="1068" customFormat="1" ht="20" hidden="1" customHeight="1" spans="1:15">
      <c r="A1068" s="438">
        <v>2200513</v>
      </c>
      <c r="B1068" s="239" t="s">
        <v>967</v>
      </c>
      <c r="C1068" s="464">
        <v>0</v>
      </c>
      <c r="D1068" s="461"/>
      <c r="E1068" s="464">
        <v>0</v>
      </c>
      <c r="F1068" s="457"/>
      <c r="G1068" s="458">
        <f t="shared" si="69"/>
        <v>0</v>
      </c>
      <c r="H1068" s="457"/>
      <c r="I1068" s="461"/>
      <c r="J1068" s="459">
        <f t="shared" si="68"/>
        <v>0</v>
      </c>
      <c r="K1068" s="460"/>
      <c r="M1068">
        <f t="shared" si="67"/>
        <v>0</v>
      </c>
      <c r="N1068" s="415"/>
      <c r="O1068" s="415"/>
    </row>
    <row r="1069" customFormat="1" ht="20" hidden="1" customHeight="1" spans="1:15">
      <c r="A1069" s="438">
        <v>2200514</v>
      </c>
      <c r="B1069" s="239" t="s">
        <v>968</v>
      </c>
      <c r="C1069" s="464">
        <v>0</v>
      </c>
      <c r="D1069" s="461"/>
      <c r="E1069" s="464">
        <v>0</v>
      </c>
      <c r="F1069" s="457"/>
      <c r="G1069" s="458">
        <f t="shared" si="69"/>
        <v>0</v>
      </c>
      <c r="H1069" s="457"/>
      <c r="I1069" s="461"/>
      <c r="J1069" s="459">
        <f t="shared" si="68"/>
        <v>0</v>
      </c>
      <c r="K1069" s="460"/>
      <c r="M1069">
        <f t="shared" si="67"/>
        <v>0</v>
      </c>
      <c r="N1069" s="415"/>
      <c r="O1069" s="415"/>
    </row>
    <row r="1070" customFormat="1" ht="20" hidden="1" customHeight="1" spans="1:15">
      <c r="A1070" s="438">
        <v>2200599</v>
      </c>
      <c r="B1070" s="239" t="s">
        <v>969</v>
      </c>
      <c r="C1070" s="464">
        <v>0</v>
      </c>
      <c r="D1070" s="461"/>
      <c r="E1070" s="464">
        <v>0</v>
      </c>
      <c r="F1070" s="457"/>
      <c r="G1070" s="458">
        <f t="shared" si="69"/>
        <v>0</v>
      </c>
      <c r="H1070" s="457"/>
      <c r="I1070" s="461"/>
      <c r="J1070" s="459">
        <f t="shared" si="68"/>
        <v>0</v>
      </c>
      <c r="K1070" s="460"/>
      <c r="M1070">
        <f t="shared" si="67"/>
        <v>0</v>
      </c>
      <c r="N1070" s="415"/>
      <c r="O1070" s="415"/>
    </row>
    <row r="1071" customFormat="1" ht="20" hidden="1" customHeight="1" spans="1:15">
      <c r="A1071" s="437">
        <v>22099</v>
      </c>
      <c r="B1071" s="427" t="s">
        <v>970</v>
      </c>
      <c r="C1071" s="461">
        <v>0</v>
      </c>
      <c r="D1071" s="461"/>
      <c r="E1071" s="461">
        <v>0</v>
      </c>
      <c r="F1071" s="457"/>
      <c r="G1071" s="458">
        <f t="shared" si="69"/>
        <v>0</v>
      </c>
      <c r="H1071" s="457"/>
      <c r="I1071" s="461"/>
      <c r="J1071" s="459">
        <f t="shared" si="68"/>
        <v>0</v>
      </c>
      <c r="K1071" s="460"/>
      <c r="M1071">
        <f t="shared" si="67"/>
        <v>0</v>
      </c>
      <c r="N1071" s="415"/>
      <c r="O1071" s="415"/>
    </row>
    <row r="1072" s="278" customFormat="1" ht="20" customHeight="1" spans="1:15">
      <c r="A1072" s="412">
        <v>221</v>
      </c>
      <c r="B1072" s="413" t="s">
        <v>971</v>
      </c>
      <c r="C1072" s="346">
        <f>SUM(C1073:C1093)/2</f>
        <v>17082.737581</v>
      </c>
      <c r="D1072" s="346">
        <f>SUM(D1073:D1093)/2</f>
        <v>9187.65259</v>
      </c>
      <c r="E1072" s="346">
        <f>SUM(E1073:E1093)/2</f>
        <v>9929</v>
      </c>
      <c r="F1072" s="414">
        <f>E1072/D1072*100</f>
        <v>108.068953443091</v>
      </c>
      <c r="G1072" s="346">
        <f t="shared" si="69"/>
        <v>-7153.737581</v>
      </c>
      <c r="H1072" s="414">
        <f>G1072/C1072*100</f>
        <v>-41.8769974489137</v>
      </c>
      <c r="I1072" s="346">
        <f>SUM(I1073:I1093)/2</f>
        <v>14046.867809</v>
      </c>
      <c r="J1072" s="307">
        <f t="shared" si="68"/>
        <v>4859.215219</v>
      </c>
      <c r="K1072" s="306">
        <f>J1072/D1072*100</f>
        <v>52.8885389537786</v>
      </c>
      <c r="M1072" s="278">
        <f t="shared" si="67"/>
        <v>0</v>
      </c>
      <c r="N1072" s="415"/>
      <c r="O1072" s="415"/>
    </row>
    <row r="1073" customFormat="1" ht="20" hidden="1" customHeight="1" spans="1:17">
      <c r="A1073" s="437">
        <v>22101</v>
      </c>
      <c r="B1073" s="427" t="s">
        <v>972</v>
      </c>
      <c r="C1073" s="461">
        <f>SUM(C1074:C1085)</f>
        <v>7665.10045</v>
      </c>
      <c r="D1073" s="461">
        <f>SUM(D1074:D1085)</f>
        <v>349.80455</v>
      </c>
      <c r="E1073" s="461">
        <f>SUM(E1074:E1085)</f>
        <v>684</v>
      </c>
      <c r="F1073" s="457">
        <f>E1073/D1073*100</f>
        <v>195.53776530351</v>
      </c>
      <c r="G1073" s="458">
        <f t="shared" si="69"/>
        <v>-6981.10045</v>
      </c>
      <c r="H1073" s="457">
        <f>G1073/C1073*100</f>
        <v>-91.0764378828199</v>
      </c>
      <c r="I1073" s="461">
        <f>SUM(I1074:I1085)</f>
        <v>3979.73</v>
      </c>
      <c r="J1073" s="459">
        <f t="shared" si="68"/>
        <v>3629.92545</v>
      </c>
      <c r="K1073" s="460">
        <f>J1073/D1073*100</f>
        <v>1037.70103905166</v>
      </c>
      <c r="M1073">
        <f t="shared" si="67"/>
        <v>0</v>
      </c>
      <c r="N1073" s="415"/>
      <c r="O1073" s="415"/>
    </row>
    <row r="1074" s="278" customFormat="1" ht="20" hidden="1" customHeight="1" spans="1:17">
      <c r="A1074" s="438">
        <v>2210101</v>
      </c>
      <c r="B1074" s="422" t="s">
        <v>973</v>
      </c>
      <c r="C1074" s="474">
        <v>0</v>
      </c>
      <c r="D1074" s="461"/>
      <c r="E1074" s="474">
        <v>0</v>
      </c>
      <c r="F1074" s="457"/>
      <c r="G1074" s="458">
        <f t="shared" si="69"/>
        <v>0</v>
      </c>
      <c r="H1074" s="457"/>
      <c r="I1074" s="461"/>
      <c r="J1074" s="459">
        <f t="shared" si="68"/>
        <v>0</v>
      </c>
      <c r="K1074" s="460"/>
      <c r="M1074" s="278">
        <f t="shared" si="67"/>
        <v>0</v>
      </c>
      <c r="N1074" s="415"/>
      <c r="O1074" s="415"/>
    </row>
    <row r="1075" s="278" customFormat="1" ht="20" hidden="1" customHeight="1" spans="1:17">
      <c r="A1075" s="438">
        <v>2210102</v>
      </c>
      <c r="B1075" s="422" t="s">
        <v>974</v>
      </c>
      <c r="C1075" s="474">
        <v>0</v>
      </c>
      <c r="D1075" s="461"/>
      <c r="E1075" s="474">
        <v>0</v>
      </c>
      <c r="F1075" s="457"/>
      <c r="G1075" s="458">
        <f t="shared" si="69"/>
        <v>0</v>
      </c>
      <c r="H1075" s="457"/>
      <c r="I1075" s="461"/>
      <c r="J1075" s="459">
        <f t="shared" si="68"/>
        <v>0</v>
      </c>
      <c r="K1075" s="460"/>
      <c r="M1075" s="278">
        <f t="shared" si="67"/>
        <v>0</v>
      </c>
      <c r="N1075" s="415"/>
      <c r="O1075" s="415"/>
    </row>
    <row r="1076" s="278" customFormat="1" ht="20" hidden="1" customHeight="1" spans="1:17">
      <c r="A1076" s="438">
        <v>2210103</v>
      </c>
      <c r="B1076" s="422" t="s">
        <v>975</v>
      </c>
      <c r="C1076" s="474">
        <v>4201.12247</v>
      </c>
      <c r="D1076" s="461">
        <v>111.64753</v>
      </c>
      <c r="E1076" s="474">
        <v>102</v>
      </c>
      <c r="F1076" s="457">
        <f>E1076/D1076*100</f>
        <v>91.3589400499948</v>
      </c>
      <c r="G1076" s="458">
        <f t="shared" si="69"/>
        <v>-4099.12247</v>
      </c>
      <c r="H1076" s="457">
        <f>G1076/C1076*100</f>
        <v>-97.5720774452928</v>
      </c>
      <c r="I1076" s="461">
        <f>19.94+873</f>
        <v>892.94</v>
      </c>
      <c r="J1076" s="459">
        <f t="shared" si="68"/>
        <v>781.29247</v>
      </c>
      <c r="K1076" s="460">
        <f>J1076/D1076*100</f>
        <v>699.784822825906</v>
      </c>
      <c r="M1076" s="278">
        <f t="shared" si="67"/>
        <v>0</v>
      </c>
      <c r="N1076" s="415"/>
      <c r="O1076" s="415"/>
      <c r="P1076" s="278">
        <v>28</v>
      </c>
      <c r="Q1076" s="278">
        <v>202</v>
      </c>
    </row>
    <row r="1077" s="278" customFormat="1" ht="20" hidden="1" customHeight="1" spans="1:17">
      <c r="A1077" s="438">
        <v>2210104</v>
      </c>
      <c r="B1077" s="422" t="s">
        <v>976</v>
      </c>
      <c r="C1077" s="474">
        <v>0</v>
      </c>
      <c r="D1077" s="461"/>
      <c r="E1077" s="474"/>
      <c r="F1077" s="457"/>
      <c r="G1077" s="458">
        <f t="shared" si="69"/>
        <v>0</v>
      </c>
      <c r="H1077" s="457"/>
      <c r="I1077" s="461"/>
      <c r="J1077" s="459">
        <f t="shared" si="68"/>
        <v>0</v>
      </c>
      <c r="K1077" s="460"/>
      <c r="M1077" s="278">
        <f t="shared" ref="M1077:M1083" si="70">N1077+O1077</f>
        <v>0</v>
      </c>
      <c r="N1077" s="415"/>
      <c r="O1077" s="415"/>
    </row>
    <row r="1078" s="278" customFormat="1" ht="20" hidden="1" customHeight="1" spans="1:17">
      <c r="A1078" s="438">
        <v>2210105</v>
      </c>
      <c r="B1078" s="422" t="s">
        <v>977</v>
      </c>
      <c r="C1078" s="474">
        <v>177.4</v>
      </c>
      <c r="D1078" s="461">
        <v>124.51</v>
      </c>
      <c r="E1078" s="474">
        <v>241</v>
      </c>
      <c r="F1078" s="457">
        <f>E1078/D1078*100</f>
        <v>193.558750301181</v>
      </c>
      <c r="G1078" s="458">
        <f t="shared" si="69"/>
        <v>63.6</v>
      </c>
      <c r="H1078" s="457">
        <f>G1078/C1078*100</f>
        <v>35.8511837655017</v>
      </c>
      <c r="I1078" s="461">
        <v>61.13</v>
      </c>
      <c r="J1078" s="459">
        <f t="shared" si="68"/>
        <v>-63.38</v>
      </c>
      <c r="K1078" s="460">
        <f>J1078/D1078*100</f>
        <v>-50.903541884186</v>
      </c>
      <c r="M1078" s="278">
        <f t="shared" si="70"/>
        <v>0</v>
      </c>
      <c r="N1078" s="415"/>
      <c r="O1078" s="415"/>
      <c r="P1078" s="278">
        <v>124</v>
      </c>
    </row>
    <row r="1079" s="278" customFormat="1" ht="20" hidden="1" customHeight="1" spans="1:17">
      <c r="A1079" s="438">
        <v>2210106</v>
      </c>
      <c r="B1079" s="422" t="s">
        <v>978</v>
      </c>
      <c r="C1079" s="474">
        <v>0</v>
      </c>
      <c r="D1079" s="461"/>
      <c r="E1079" s="474"/>
      <c r="F1079" s="457"/>
      <c r="G1079" s="458">
        <f t="shared" si="69"/>
        <v>0</v>
      </c>
      <c r="H1079" s="457"/>
      <c r="I1079" s="461"/>
      <c r="J1079" s="459">
        <f t="shared" si="68"/>
        <v>0</v>
      </c>
      <c r="K1079" s="460"/>
      <c r="M1079" s="278">
        <f t="shared" si="70"/>
        <v>0</v>
      </c>
      <c r="N1079" s="415"/>
      <c r="O1079" s="415"/>
    </row>
    <row r="1080" s="278" customFormat="1" ht="20" hidden="1" customHeight="1" spans="1:17">
      <c r="A1080" s="438">
        <v>2210107</v>
      </c>
      <c r="B1080" s="422" t="s">
        <v>979</v>
      </c>
      <c r="C1080" s="464">
        <v>30.7742</v>
      </c>
      <c r="D1080" s="461">
        <v>4.2608</v>
      </c>
      <c r="E1080" s="464"/>
      <c r="F1080" s="457">
        <f>E1080/D1080*100</f>
        <v>0</v>
      </c>
      <c r="G1080" s="458">
        <f t="shared" si="69"/>
        <v>-30.7742</v>
      </c>
      <c r="H1080" s="457">
        <f>G1080/C1080*100</f>
        <v>-100</v>
      </c>
      <c r="I1080" s="461"/>
      <c r="J1080" s="459">
        <f t="shared" si="68"/>
        <v>-4.2608</v>
      </c>
      <c r="K1080" s="460">
        <f>J1080/D1080*100</f>
        <v>-100</v>
      </c>
      <c r="M1080" s="278">
        <f t="shared" si="70"/>
        <v>0</v>
      </c>
      <c r="N1080" s="415"/>
      <c r="O1080" s="415"/>
      <c r="P1080" s="278">
        <v>23</v>
      </c>
      <c r="Q1080" s="278">
        <v>3</v>
      </c>
    </row>
    <row r="1081" s="278" customFormat="1" ht="20" hidden="1" customHeight="1" spans="1:17">
      <c r="A1081" s="438">
        <v>2210108</v>
      </c>
      <c r="B1081" s="422" t="s">
        <v>980</v>
      </c>
      <c r="C1081" s="464">
        <v>1407.30378</v>
      </c>
      <c r="D1081" s="461">
        <v>109.38622</v>
      </c>
      <c r="E1081" s="464">
        <v>316</v>
      </c>
      <c r="F1081" s="457">
        <f>E1081/D1081*100</f>
        <v>288.884651101391</v>
      </c>
      <c r="G1081" s="458">
        <f t="shared" si="69"/>
        <v>-1091.30378</v>
      </c>
      <c r="H1081" s="457">
        <f>G1081/C1081*100</f>
        <v>-77.5457151120563</v>
      </c>
      <c r="I1081" s="461">
        <f>52.1+981.04</f>
        <v>1033.14</v>
      </c>
      <c r="J1081" s="459">
        <f t="shared" si="68"/>
        <v>923.75378</v>
      </c>
      <c r="K1081" s="460">
        <f>J1081/D1081*100</f>
        <v>844.488254553453</v>
      </c>
      <c r="M1081" s="278">
        <f t="shared" si="70"/>
        <v>0</v>
      </c>
      <c r="N1081" s="415"/>
      <c r="O1081" s="415"/>
      <c r="P1081" s="278">
        <v>586</v>
      </c>
      <c r="Q1081" s="278">
        <v>2117</v>
      </c>
    </row>
    <row r="1082" s="278" customFormat="1" ht="20" hidden="1" customHeight="1" spans="1:17">
      <c r="A1082" s="438">
        <v>2210109</v>
      </c>
      <c r="B1082" s="422" t="s">
        <v>981</v>
      </c>
      <c r="C1082" s="464">
        <v>0</v>
      </c>
      <c r="D1082" s="461"/>
      <c r="E1082" s="464"/>
      <c r="F1082" s="457"/>
      <c r="G1082" s="458">
        <f t="shared" si="69"/>
        <v>0</v>
      </c>
      <c r="H1082" s="457"/>
      <c r="I1082" s="461"/>
      <c r="J1082" s="459">
        <f t="shared" si="68"/>
        <v>0</v>
      </c>
      <c r="K1082" s="460"/>
      <c r="M1082" s="278">
        <f t="shared" si="70"/>
        <v>0</v>
      </c>
      <c r="N1082" s="415"/>
      <c r="O1082" s="415"/>
    </row>
    <row r="1083" s="278" customFormat="1" ht="20" hidden="1" customHeight="1" spans="1:17">
      <c r="A1083" s="438">
        <v>2210110</v>
      </c>
      <c r="B1083" s="422" t="s">
        <v>982</v>
      </c>
      <c r="C1083" s="464">
        <v>27.5</v>
      </c>
      <c r="D1083" s="461"/>
      <c r="E1083" s="464"/>
      <c r="F1083" s="457"/>
      <c r="G1083" s="458">
        <f t="shared" si="69"/>
        <v>-27.5</v>
      </c>
      <c r="H1083" s="457">
        <f>G1083/C1083*100</f>
        <v>-100</v>
      </c>
      <c r="I1083" s="461"/>
      <c r="J1083" s="459">
        <f t="shared" si="68"/>
        <v>0</v>
      </c>
      <c r="K1083" s="460"/>
      <c r="M1083" s="278">
        <f t="shared" si="70"/>
        <v>0</v>
      </c>
      <c r="N1083" s="415"/>
      <c r="O1083" s="415"/>
      <c r="Q1083" s="278">
        <v>164</v>
      </c>
    </row>
    <row r="1084" s="278" customFormat="1" ht="20" hidden="1" customHeight="1" spans="1:17">
      <c r="A1084" s="438" t="s">
        <v>983</v>
      </c>
      <c r="B1084" s="422" t="s">
        <v>984</v>
      </c>
      <c r="C1084" s="464"/>
      <c r="D1084" s="461"/>
      <c r="E1084" s="464">
        <v>25</v>
      </c>
      <c r="F1084" s="457"/>
      <c r="G1084" s="458">
        <f t="shared" si="69"/>
        <v>25</v>
      </c>
      <c r="H1084" s="457"/>
      <c r="I1084" s="461">
        <v>1992.52</v>
      </c>
      <c r="J1084" s="459">
        <f t="shared" si="68"/>
        <v>1992.52</v>
      </c>
      <c r="K1084" s="460"/>
      <c r="N1084" s="415"/>
      <c r="O1084" s="415"/>
    </row>
    <row r="1085" s="278" customFormat="1" ht="20" hidden="1" customHeight="1" spans="1:17">
      <c r="A1085" s="438">
        <v>2210199</v>
      </c>
      <c r="B1085" s="422" t="s">
        <v>985</v>
      </c>
      <c r="C1085" s="474">
        <v>1821</v>
      </c>
      <c r="D1085" s="461"/>
      <c r="E1085" s="474"/>
      <c r="F1085" s="457"/>
      <c r="G1085" s="458">
        <f t="shared" si="69"/>
        <v>-1821</v>
      </c>
      <c r="H1085" s="457">
        <f>G1085/C1085*100</f>
        <v>-100</v>
      </c>
      <c r="I1085" s="461"/>
      <c r="J1085" s="459">
        <f t="shared" si="68"/>
        <v>0</v>
      </c>
      <c r="K1085" s="460"/>
      <c r="M1085" s="278">
        <f t="shared" ref="M1085:M1141" si="71">N1085+O1085</f>
        <v>0</v>
      </c>
      <c r="N1085" s="415"/>
      <c r="O1085" s="415"/>
    </row>
    <row r="1086" customFormat="1" ht="20" hidden="1" customHeight="1" spans="1:17">
      <c r="A1086" s="437">
        <v>22102</v>
      </c>
      <c r="B1086" s="427" t="s">
        <v>986</v>
      </c>
      <c r="C1086" s="470">
        <f>SUM(C1087:C1089)</f>
        <v>9138.604587</v>
      </c>
      <c r="D1086" s="470">
        <f>SUM(D1087:D1089)</f>
        <v>8693.524459</v>
      </c>
      <c r="E1086" s="470">
        <f>SUM(E1087:E1089)</f>
        <v>8976</v>
      </c>
      <c r="F1086" s="457">
        <f>E1086/D1086*100</f>
        <v>103.249263774804</v>
      </c>
      <c r="G1086" s="458">
        <f t="shared" si="69"/>
        <v>-162.604587</v>
      </c>
      <c r="H1086" s="457">
        <f>G1086/C1086*100</f>
        <v>-1.77931527129766</v>
      </c>
      <c r="I1086" s="470">
        <f>SUM(I1087:I1089)</f>
        <v>9821.52</v>
      </c>
      <c r="J1086" s="459">
        <f t="shared" si="68"/>
        <v>1127.995541</v>
      </c>
      <c r="K1086" s="460">
        <f>J1086/D1086*100</f>
        <v>12.9751235683502</v>
      </c>
      <c r="M1086">
        <f t="shared" si="71"/>
        <v>0</v>
      </c>
      <c r="N1086" s="415"/>
      <c r="O1086" s="415"/>
    </row>
    <row r="1087" s="278" customFormat="1" ht="20" hidden="1" customHeight="1" spans="1:17">
      <c r="A1087" s="438">
        <v>2210201</v>
      </c>
      <c r="B1087" s="422" t="s">
        <v>987</v>
      </c>
      <c r="C1087" s="464">
        <v>9138.604587</v>
      </c>
      <c r="D1087" s="461">
        <f>8693.524459</f>
        <v>8693.524459</v>
      </c>
      <c r="E1087" s="464">
        <v>8976</v>
      </c>
      <c r="F1087" s="457">
        <f>E1087/D1087*100</f>
        <v>103.249263774804</v>
      </c>
      <c r="G1087" s="458">
        <f t="shared" si="69"/>
        <v>-162.604587</v>
      </c>
      <c r="H1087" s="457">
        <f>G1087/C1087*100</f>
        <v>-1.77931527129766</v>
      </c>
      <c r="I1087" s="461">
        <v>9821.52</v>
      </c>
      <c r="J1087" s="459">
        <f t="shared" si="68"/>
        <v>1127.995541</v>
      </c>
      <c r="K1087" s="460">
        <f>J1087/D1087*100</f>
        <v>12.9751235683502</v>
      </c>
      <c r="M1087" s="278">
        <f t="shared" si="71"/>
        <v>8867</v>
      </c>
      <c r="N1087" s="415">
        <v>8867</v>
      </c>
      <c r="O1087" s="415"/>
    </row>
    <row r="1088" customFormat="1" ht="20" hidden="1" customHeight="1" spans="1:17">
      <c r="A1088" s="438">
        <v>2210202</v>
      </c>
      <c r="B1088" s="239" t="s">
        <v>988</v>
      </c>
      <c r="C1088" s="464">
        <v>0</v>
      </c>
      <c r="D1088" s="461"/>
      <c r="E1088" s="464">
        <v>0</v>
      </c>
      <c r="F1088" s="457"/>
      <c r="G1088" s="458">
        <f t="shared" si="69"/>
        <v>0</v>
      </c>
      <c r="H1088" s="457"/>
      <c r="I1088" s="461"/>
      <c r="J1088" s="459">
        <f t="shared" si="68"/>
        <v>0</v>
      </c>
      <c r="K1088" s="460"/>
      <c r="M1088">
        <f t="shared" si="71"/>
        <v>0</v>
      </c>
      <c r="N1088" s="415"/>
      <c r="O1088" s="415"/>
    </row>
    <row r="1089" customFormat="1" ht="20" hidden="1" customHeight="1" spans="1:16">
      <c r="A1089" s="438">
        <v>2210203</v>
      </c>
      <c r="B1089" s="239" t="s">
        <v>989</v>
      </c>
      <c r="C1089" s="464">
        <v>0</v>
      </c>
      <c r="D1089" s="461"/>
      <c r="E1089" s="464">
        <v>0</v>
      </c>
      <c r="F1089" s="457"/>
      <c r="G1089" s="458">
        <f t="shared" si="69"/>
        <v>0</v>
      </c>
      <c r="H1089" s="457"/>
      <c r="I1089" s="461"/>
      <c r="J1089" s="459">
        <f t="shared" si="68"/>
        <v>0</v>
      </c>
      <c r="K1089" s="460"/>
      <c r="M1089">
        <f t="shared" si="71"/>
        <v>0</v>
      </c>
      <c r="N1089" s="415"/>
      <c r="O1089" s="415"/>
    </row>
    <row r="1090" customFormat="1" ht="20" hidden="1" customHeight="1" spans="1:16">
      <c r="A1090" s="437">
        <v>22103</v>
      </c>
      <c r="B1090" s="427" t="s">
        <v>990</v>
      </c>
      <c r="C1090" s="470">
        <f>SUM(C1091:C1093)</f>
        <v>279.032544</v>
      </c>
      <c r="D1090" s="470">
        <f>SUM(D1091:D1093)</f>
        <v>144.323581</v>
      </c>
      <c r="E1090" s="470">
        <f>SUM(E1091:E1093)</f>
        <v>269</v>
      </c>
      <c r="F1090" s="457">
        <f>E1090/D1090*100</f>
        <v>186.386727751718</v>
      </c>
      <c r="G1090" s="458">
        <f t="shared" si="69"/>
        <v>-10.032544</v>
      </c>
      <c r="H1090" s="457">
        <f>G1090/C1090*100</f>
        <v>-3.59547451210565</v>
      </c>
      <c r="I1090" s="470">
        <f>SUM(I1091:I1093)</f>
        <v>245.617809</v>
      </c>
      <c r="J1090" s="459">
        <f t="shared" si="68"/>
        <v>101.294228</v>
      </c>
      <c r="K1090" s="460">
        <f>J1090/D1090*100</f>
        <v>70.1855007325518</v>
      </c>
      <c r="M1090">
        <f t="shared" si="71"/>
        <v>0</v>
      </c>
      <c r="N1090" s="415"/>
      <c r="O1090" s="415"/>
    </row>
    <row r="1091" customFormat="1" ht="20" hidden="1" customHeight="1" spans="1:16">
      <c r="A1091" s="440">
        <v>2210301</v>
      </c>
      <c r="B1091" s="239" t="s">
        <v>991</v>
      </c>
      <c r="C1091" s="464">
        <v>0</v>
      </c>
      <c r="D1091" s="461"/>
      <c r="E1091" s="464">
        <v>0</v>
      </c>
      <c r="F1091" s="457"/>
      <c r="G1091" s="458">
        <f t="shared" si="69"/>
        <v>0</v>
      </c>
      <c r="H1091" s="457"/>
      <c r="I1091" s="461"/>
      <c r="J1091" s="459">
        <f t="shared" si="68"/>
        <v>0</v>
      </c>
      <c r="K1091" s="460"/>
      <c r="M1091">
        <f t="shared" si="71"/>
        <v>0</v>
      </c>
      <c r="N1091" s="415"/>
      <c r="O1091" s="415"/>
    </row>
    <row r="1092" customFormat="1" ht="20" hidden="1" customHeight="1" spans="1:16">
      <c r="A1092" s="440">
        <v>2210302</v>
      </c>
      <c r="B1092" s="239" t="s">
        <v>992</v>
      </c>
      <c r="C1092" s="464">
        <v>0</v>
      </c>
      <c r="D1092" s="461"/>
      <c r="E1092" s="464">
        <v>0</v>
      </c>
      <c r="F1092" s="457"/>
      <c r="G1092" s="458">
        <f t="shared" si="69"/>
        <v>0</v>
      </c>
      <c r="H1092" s="457"/>
      <c r="I1092" s="461"/>
      <c r="J1092" s="459">
        <f t="shared" si="68"/>
        <v>0</v>
      </c>
      <c r="K1092" s="460"/>
      <c r="M1092">
        <f t="shared" si="71"/>
        <v>0</v>
      </c>
      <c r="N1092" s="415"/>
      <c r="O1092" s="415"/>
    </row>
    <row r="1093" customFormat="1" ht="20" hidden="1" customHeight="1" spans="1:16">
      <c r="A1093" s="440">
        <v>2210399</v>
      </c>
      <c r="B1093" s="239" t="s">
        <v>993</v>
      </c>
      <c r="C1093" s="464">
        <v>279.032544</v>
      </c>
      <c r="D1093" s="466">
        <v>144.323581</v>
      </c>
      <c r="E1093" s="464">
        <v>269</v>
      </c>
      <c r="F1093" s="457">
        <f>E1093/D1093*100</f>
        <v>186.386727751718</v>
      </c>
      <c r="G1093" s="458">
        <f t="shared" si="69"/>
        <v>-10.032544</v>
      </c>
      <c r="H1093" s="457">
        <f>G1093/C1093*100</f>
        <v>-3.59547451210565</v>
      </c>
      <c r="I1093" s="462">
        <v>245.617809</v>
      </c>
      <c r="J1093" s="459">
        <f t="shared" si="68"/>
        <v>101.294228</v>
      </c>
      <c r="K1093" s="460">
        <f>J1093/D1093*100</f>
        <v>70.1855007325518</v>
      </c>
      <c r="M1093">
        <f t="shared" si="71"/>
        <v>184</v>
      </c>
      <c r="N1093" s="415">
        <v>184</v>
      </c>
      <c r="O1093" s="415"/>
    </row>
    <row r="1094" s="278" customFormat="1" ht="20" customHeight="1" spans="1:16">
      <c r="A1094" s="412">
        <v>222</v>
      </c>
      <c r="B1094" s="413" t="s">
        <v>994</v>
      </c>
      <c r="C1094" s="346">
        <f>SUM(C1095:C1135)/2</f>
        <v>223.886514</v>
      </c>
      <c r="D1094" s="346">
        <f>SUM(D1095:D1135)/2</f>
        <v>838.412666</v>
      </c>
      <c r="E1094" s="346">
        <f>SUM(E1095:E1135)/2</f>
        <v>33</v>
      </c>
      <c r="F1094" s="414">
        <f>E1094/D1094*100</f>
        <v>3.93600923963141</v>
      </c>
      <c r="G1094" s="346">
        <f t="shared" si="69"/>
        <v>-190.886514</v>
      </c>
      <c r="H1094" s="414">
        <f>G1094/C1094*100</f>
        <v>-85.2603895561123</v>
      </c>
      <c r="I1094" s="346">
        <f>SUM(I1095:I1135)/2</f>
        <v>0</v>
      </c>
      <c r="J1094" s="307">
        <f t="shared" si="68"/>
        <v>-838.412666</v>
      </c>
      <c r="K1094" s="306">
        <f>J1094/D1094*100</f>
        <v>-100</v>
      </c>
      <c r="M1094" s="278">
        <f t="shared" si="71"/>
        <v>0</v>
      </c>
      <c r="N1094" s="415"/>
      <c r="O1094" s="415"/>
    </row>
    <row r="1095" customFormat="1" ht="20" hidden="1" customHeight="1" spans="1:16">
      <c r="A1095" s="437">
        <v>22201</v>
      </c>
      <c r="B1095" s="427" t="s">
        <v>995</v>
      </c>
      <c r="C1095" s="461">
        <f>SUM(C1096:C1109)</f>
        <v>23.886514</v>
      </c>
      <c r="D1095" s="461">
        <f>SUM(D1096:D1109)</f>
        <v>818.596</v>
      </c>
      <c r="E1095" s="461">
        <f>SUM(E1096:E1109)</f>
        <v>13</v>
      </c>
      <c r="F1095" s="457">
        <f>E1095/D1095*100</f>
        <v>1.58808496498883</v>
      </c>
      <c r="G1095" s="458">
        <f t="shared" si="69"/>
        <v>-10.886514</v>
      </c>
      <c r="H1095" s="457">
        <f>G1095/C1095*100</f>
        <v>-45.5759848423257</v>
      </c>
      <c r="I1095" s="461">
        <f>SUM(I1096:I1109)</f>
        <v>0</v>
      </c>
      <c r="J1095" s="459">
        <f t="shared" ref="J1095:J1158" si="72">I1095-D1095</f>
        <v>-818.596</v>
      </c>
      <c r="K1095" s="460">
        <f>J1095/D1095*100</f>
        <v>-100</v>
      </c>
      <c r="M1095">
        <f t="shared" si="71"/>
        <v>0</v>
      </c>
      <c r="N1095" s="415"/>
      <c r="O1095" s="415"/>
    </row>
    <row r="1096" s="278" customFormat="1" ht="20" hidden="1" customHeight="1" spans="1:16">
      <c r="A1096" s="438">
        <v>2220101</v>
      </c>
      <c r="B1096" s="422" t="s">
        <v>731</v>
      </c>
      <c r="C1096" s="474">
        <v>0</v>
      </c>
      <c r="D1096" s="466">
        <v>81.096</v>
      </c>
      <c r="E1096" s="474">
        <v>0</v>
      </c>
      <c r="F1096" s="457">
        <f>E1096/D1096*100</f>
        <v>0</v>
      </c>
      <c r="G1096" s="458">
        <f t="shared" ref="G1096:G1159" si="73">E1096-C1096</f>
        <v>0</v>
      </c>
      <c r="H1096" s="457"/>
      <c r="I1096" s="466"/>
      <c r="J1096" s="459">
        <f t="shared" si="72"/>
        <v>-81.096</v>
      </c>
      <c r="K1096" s="460">
        <f>J1096/D1096*100</f>
        <v>-100</v>
      </c>
      <c r="M1096" s="278">
        <f t="shared" si="71"/>
        <v>0</v>
      </c>
      <c r="N1096" s="415"/>
      <c r="O1096" s="415"/>
    </row>
    <row r="1097" s="278" customFormat="1" ht="20" hidden="1" customHeight="1" spans="1:16">
      <c r="A1097" s="438">
        <v>2220102</v>
      </c>
      <c r="B1097" s="422" t="s">
        <v>732</v>
      </c>
      <c r="C1097" s="474">
        <v>4.49504</v>
      </c>
      <c r="D1097" s="461"/>
      <c r="E1097" s="474"/>
      <c r="F1097" s="457"/>
      <c r="G1097" s="458">
        <f t="shared" si="73"/>
        <v>-4.49504</v>
      </c>
      <c r="H1097" s="457">
        <f>G1097/C1097*100</f>
        <v>-100</v>
      </c>
      <c r="I1097" s="461"/>
      <c r="J1097" s="459">
        <f t="shared" si="72"/>
        <v>0</v>
      </c>
      <c r="K1097" s="460"/>
      <c r="M1097" s="278">
        <f t="shared" si="71"/>
        <v>5</v>
      </c>
      <c r="N1097" s="415">
        <v>5</v>
      </c>
      <c r="O1097" s="415"/>
    </row>
    <row r="1098" s="278" customFormat="1" ht="20" hidden="1" customHeight="1" spans="1:16">
      <c r="A1098" s="438">
        <v>2220103</v>
      </c>
      <c r="B1098" s="422" t="s">
        <v>733</v>
      </c>
      <c r="C1098" s="474">
        <v>0</v>
      </c>
      <c r="D1098" s="461"/>
      <c r="E1098" s="474">
        <v>0</v>
      </c>
      <c r="F1098" s="457"/>
      <c r="G1098" s="458">
        <f t="shared" si="73"/>
        <v>0</v>
      </c>
      <c r="H1098" s="457"/>
      <c r="I1098" s="461"/>
      <c r="J1098" s="459">
        <f t="shared" si="72"/>
        <v>0</v>
      </c>
      <c r="K1098" s="460"/>
      <c r="M1098" s="278">
        <f t="shared" si="71"/>
        <v>0</v>
      </c>
      <c r="N1098" s="415"/>
      <c r="O1098" s="415"/>
    </row>
    <row r="1099" s="278" customFormat="1" ht="20" hidden="1" customHeight="1" spans="1:16">
      <c r="A1099" s="438">
        <v>2220104</v>
      </c>
      <c r="B1099" s="422" t="s">
        <v>996</v>
      </c>
      <c r="C1099" s="464">
        <v>0</v>
      </c>
      <c r="D1099" s="461"/>
      <c r="E1099" s="464">
        <v>0</v>
      </c>
      <c r="F1099" s="457"/>
      <c r="G1099" s="458">
        <f t="shared" si="73"/>
        <v>0</v>
      </c>
      <c r="H1099" s="457"/>
      <c r="I1099" s="461"/>
      <c r="J1099" s="459">
        <f t="shared" si="72"/>
        <v>0</v>
      </c>
      <c r="K1099" s="460"/>
      <c r="M1099" s="278">
        <f t="shared" si="71"/>
        <v>0</v>
      </c>
      <c r="N1099" s="415"/>
      <c r="O1099" s="415"/>
    </row>
    <row r="1100" s="278" customFormat="1" ht="20" hidden="1" customHeight="1" spans="1:16">
      <c r="A1100" s="438">
        <v>2220105</v>
      </c>
      <c r="B1100" s="422" t="s">
        <v>997</v>
      </c>
      <c r="C1100" s="464">
        <v>0</v>
      </c>
      <c r="D1100" s="461"/>
      <c r="E1100" s="464">
        <v>0</v>
      </c>
      <c r="F1100" s="457"/>
      <c r="G1100" s="458">
        <f t="shared" si="73"/>
        <v>0</v>
      </c>
      <c r="H1100" s="457"/>
      <c r="I1100" s="461"/>
      <c r="J1100" s="459">
        <f t="shared" si="72"/>
        <v>0</v>
      </c>
      <c r="K1100" s="460"/>
      <c r="M1100" s="278">
        <f t="shared" si="71"/>
        <v>0</v>
      </c>
      <c r="N1100" s="415"/>
      <c r="O1100" s="415"/>
    </row>
    <row r="1101" customFormat="1" ht="20" hidden="1" customHeight="1" spans="1:16">
      <c r="A1101" s="438">
        <v>2220106</v>
      </c>
      <c r="B1101" s="239" t="s">
        <v>998</v>
      </c>
      <c r="C1101" s="464">
        <v>14.2</v>
      </c>
      <c r="D1101" s="461">
        <v>12.5</v>
      </c>
      <c r="E1101" s="464">
        <v>12</v>
      </c>
      <c r="F1101" s="457">
        <f>E1101/D1101*100</f>
        <v>96</v>
      </c>
      <c r="G1101" s="458">
        <f t="shared" si="73"/>
        <v>-2.2</v>
      </c>
      <c r="H1101" s="457">
        <f>G1101/C1101*100</f>
        <v>-15.4929577464789</v>
      </c>
      <c r="I1101" s="461"/>
      <c r="J1101" s="459">
        <f t="shared" si="72"/>
        <v>-12.5</v>
      </c>
      <c r="K1101" s="460">
        <f>J1101/D1101*100</f>
        <v>-100</v>
      </c>
      <c r="M1101">
        <f t="shared" si="71"/>
        <v>0</v>
      </c>
      <c r="N1101" s="415"/>
      <c r="O1101" s="415"/>
      <c r="P1101">
        <v>14</v>
      </c>
    </row>
    <row r="1102" customFormat="1" ht="20" hidden="1" customHeight="1" spans="1:16">
      <c r="A1102" s="438">
        <v>2220107</v>
      </c>
      <c r="B1102" s="239" t="s">
        <v>999</v>
      </c>
      <c r="C1102" s="464">
        <v>0</v>
      </c>
      <c r="D1102" s="461"/>
      <c r="E1102" s="464">
        <v>0</v>
      </c>
      <c r="F1102" s="457"/>
      <c r="G1102" s="458">
        <f t="shared" si="73"/>
        <v>0</v>
      </c>
      <c r="H1102" s="457"/>
      <c r="I1102" s="461"/>
      <c r="J1102" s="459">
        <f t="shared" si="72"/>
        <v>0</v>
      </c>
      <c r="K1102" s="460"/>
      <c r="M1102">
        <f t="shared" si="71"/>
        <v>0</v>
      </c>
      <c r="N1102" s="415"/>
      <c r="O1102" s="415"/>
    </row>
    <row r="1103" customFormat="1" ht="20" hidden="1" customHeight="1" spans="1:16">
      <c r="A1103" s="438">
        <v>2220112</v>
      </c>
      <c r="B1103" s="239" t="s">
        <v>1000</v>
      </c>
      <c r="C1103" s="464">
        <v>0</v>
      </c>
      <c r="D1103" s="461"/>
      <c r="E1103" s="464">
        <v>0</v>
      </c>
      <c r="F1103" s="457"/>
      <c r="G1103" s="458">
        <f t="shared" si="73"/>
        <v>0</v>
      </c>
      <c r="H1103" s="457"/>
      <c r="I1103" s="461"/>
      <c r="J1103" s="459">
        <f t="shared" si="72"/>
        <v>0</v>
      </c>
      <c r="K1103" s="460"/>
      <c r="M1103">
        <f t="shared" si="71"/>
        <v>0</v>
      </c>
      <c r="N1103" s="415"/>
      <c r="O1103" s="415"/>
    </row>
    <row r="1104" customFormat="1" ht="20" hidden="1" customHeight="1" spans="1:16">
      <c r="A1104" s="438">
        <v>2220113</v>
      </c>
      <c r="B1104" s="239" t="s">
        <v>1001</v>
      </c>
      <c r="C1104" s="464">
        <v>0</v>
      </c>
      <c r="D1104" s="461"/>
      <c r="E1104" s="464">
        <v>0</v>
      </c>
      <c r="F1104" s="457"/>
      <c r="G1104" s="458">
        <f t="shared" si="73"/>
        <v>0</v>
      </c>
      <c r="H1104" s="457"/>
      <c r="I1104" s="461"/>
      <c r="J1104" s="459">
        <f t="shared" si="72"/>
        <v>0</v>
      </c>
      <c r="K1104" s="460"/>
      <c r="M1104">
        <f t="shared" si="71"/>
        <v>0</v>
      </c>
      <c r="N1104" s="415"/>
      <c r="O1104" s="415"/>
    </row>
    <row r="1105" customFormat="1" ht="20" hidden="1" customHeight="1" spans="1:16">
      <c r="A1105" s="438">
        <v>2220114</v>
      </c>
      <c r="B1105" s="239" t="s">
        <v>1002</v>
      </c>
      <c r="C1105" s="464">
        <v>0</v>
      </c>
      <c r="D1105" s="461"/>
      <c r="E1105" s="464">
        <v>0</v>
      </c>
      <c r="F1105" s="457"/>
      <c r="G1105" s="458">
        <f t="shared" si="73"/>
        <v>0</v>
      </c>
      <c r="H1105" s="457"/>
      <c r="I1105" s="461"/>
      <c r="J1105" s="459">
        <f t="shared" si="72"/>
        <v>0</v>
      </c>
      <c r="K1105" s="460"/>
      <c r="M1105">
        <f t="shared" si="71"/>
        <v>0</v>
      </c>
      <c r="N1105" s="415"/>
      <c r="O1105" s="415"/>
    </row>
    <row r="1106" customFormat="1" ht="20" hidden="1" customHeight="1" spans="1:16">
      <c r="A1106" s="438">
        <v>2220115</v>
      </c>
      <c r="B1106" s="239" t="s">
        <v>1003</v>
      </c>
      <c r="C1106" s="464">
        <v>0</v>
      </c>
      <c r="D1106" s="461"/>
      <c r="E1106" s="464">
        <v>0</v>
      </c>
      <c r="F1106" s="457"/>
      <c r="G1106" s="458">
        <f t="shared" si="73"/>
        <v>0</v>
      </c>
      <c r="H1106" s="457"/>
      <c r="I1106" s="461"/>
      <c r="J1106" s="459">
        <f t="shared" si="72"/>
        <v>0</v>
      </c>
      <c r="K1106" s="460"/>
      <c r="M1106">
        <f t="shared" si="71"/>
        <v>0</v>
      </c>
      <c r="N1106" s="415"/>
      <c r="O1106" s="415"/>
    </row>
    <row r="1107" customFormat="1" ht="20" hidden="1" customHeight="1" spans="1:16">
      <c r="A1107" s="438">
        <v>2220118</v>
      </c>
      <c r="B1107" s="239" t="s">
        <v>1004</v>
      </c>
      <c r="C1107" s="464">
        <v>0</v>
      </c>
      <c r="D1107" s="461"/>
      <c r="E1107" s="464">
        <v>0</v>
      </c>
      <c r="F1107" s="457"/>
      <c r="G1107" s="458">
        <f t="shared" si="73"/>
        <v>0</v>
      </c>
      <c r="H1107" s="457"/>
      <c r="I1107" s="461"/>
      <c r="J1107" s="459">
        <f t="shared" si="72"/>
        <v>0</v>
      </c>
      <c r="K1107" s="460"/>
      <c r="M1107">
        <f t="shared" si="71"/>
        <v>0</v>
      </c>
      <c r="N1107" s="415"/>
      <c r="O1107" s="415"/>
    </row>
    <row r="1108" customFormat="1" ht="20" hidden="1" customHeight="1" spans="1:16">
      <c r="A1108" s="438">
        <v>2220150</v>
      </c>
      <c r="B1108" s="239" t="s">
        <v>750</v>
      </c>
      <c r="C1108" s="464">
        <v>0</v>
      </c>
      <c r="D1108" s="461"/>
      <c r="E1108" s="464">
        <v>0</v>
      </c>
      <c r="F1108" s="457"/>
      <c r="G1108" s="458">
        <f t="shared" si="73"/>
        <v>0</v>
      </c>
      <c r="H1108" s="457"/>
      <c r="I1108" s="461"/>
      <c r="J1108" s="459">
        <f t="shared" si="72"/>
        <v>0</v>
      </c>
      <c r="K1108" s="460"/>
      <c r="M1108">
        <f t="shared" si="71"/>
        <v>0</v>
      </c>
      <c r="N1108" s="415"/>
      <c r="O1108" s="415"/>
    </row>
    <row r="1109" customFormat="1" ht="20" hidden="1" customHeight="1" spans="1:16">
      <c r="A1109" s="438">
        <v>2220199</v>
      </c>
      <c r="B1109" s="239" t="s">
        <v>1005</v>
      </c>
      <c r="C1109" s="464">
        <v>5.191474</v>
      </c>
      <c r="D1109" s="466">
        <f>1+724</f>
        <v>725</v>
      </c>
      <c r="E1109" s="464">
        <v>1</v>
      </c>
      <c r="F1109" s="457">
        <f>E1109/D1109*100</f>
        <v>0.137931034482759</v>
      </c>
      <c r="G1109" s="458">
        <f t="shared" si="73"/>
        <v>-4.191474</v>
      </c>
      <c r="H1109" s="457">
        <f>G1109/C1109*100</f>
        <v>-80.7376479204172</v>
      </c>
      <c r="I1109" s="466"/>
      <c r="J1109" s="459">
        <f t="shared" si="72"/>
        <v>-725</v>
      </c>
      <c r="K1109" s="460">
        <f>J1109/D1109*100</f>
        <v>-100</v>
      </c>
      <c r="M1109">
        <f t="shared" si="71"/>
        <v>5</v>
      </c>
      <c r="N1109" s="415">
        <v>5</v>
      </c>
      <c r="O1109" s="415"/>
    </row>
    <row r="1110" customFormat="1" ht="20" hidden="1" customHeight="1" spans="1:16">
      <c r="A1110" s="437">
        <v>22203</v>
      </c>
      <c r="B1110" s="427" t="s">
        <v>1006</v>
      </c>
      <c r="C1110" s="461">
        <v>0</v>
      </c>
      <c r="D1110" s="461"/>
      <c r="E1110" s="461">
        <v>0</v>
      </c>
      <c r="F1110" s="457"/>
      <c r="G1110" s="458">
        <f t="shared" si="73"/>
        <v>0</v>
      </c>
      <c r="H1110" s="457"/>
      <c r="I1110" s="461"/>
      <c r="J1110" s="459">
        <f t="shared" si="72"/>
        <v>0</v>
      </c>
      <c r="K1110" s="460"/>
      <c r="M1110">
        <f t="shared" si="71"/>
        <v>0</v>
      </c>
      <c r="N1110" s="415"/>
      <c r="O1110" s="415"/>
    </row>
    <row r="1111" customFormat="1" ht="20" hidden="1" customHeight="1" spans="1:16">
      <c r="A1111" s="440">
        <v>2220301</v>
      </c>
      <c r="B1111" s="239" t="s">
        <v>1007</v>
      </c>
      <c r="C1111" s="461">
        <v>0</v>
      </c>
      <c r="D1111" s="461"/>
      <c r="E1111" s="461">
        <v>0</v>
      </c>
      <c r="F1111" s="457"/>
      <c r="G1111" s="458">
        <f t="shared" si="73"/>
        <v>0</v>
      </c>
      <c r="H1111" s="457"/>
      <c r="I1111" s="461"/>
      <c r="J1111" s="459">
        <f t="shared" si="72"/>
        <v>0</v>
      </c>
      <c r="K1111" s="460"/>
      <c r="M1111">
        <f t="shared" si="71"/>
        <v>0</v>
      </c>
      <c r="N1111" s="415"/>
      <c r="O1111" s="415"/>
    </row>
    <row r="1112" customFormat="1" ht="20" hidden="1" customHeight="1" spans="1:16">
      <c r="A1112" s="440">
        <v>2220303</v>
      </c>
      <c r="B1112" s="239" t="s">
        <v>1008</v>
      </c>
      <c r="C1112" s="461">
        <v>0</v>
      </c>
      <c r="D1112" s="461"/>
      <c r="E1112" s="461">
        <v>0</v>
      </c>
      <c r="F1112" s="457"/>
      <c r="G1112" s="458">
        <f t="shared" si="73"/>
        <v>0</v>
      </c>
      <c r="H1112" s="457"/>
      <c r="I1112" s="461"/>
      <c r="J1112" s="459">
        <f t="shared" si="72"/>
        <v>0</v>
      </c>
      <c r="K1112" s="460"/>
      <c r="M1112">
        <f t="shared" si="71"/>
        <v>0</v>
      </c>
      <c r="N1112" s="415"/>
      <c r="O1112" s="415"/>
    </row>
    <row r="1113" customFormat="1" ht="20" hidden="1" customHeight="1" spans="1:16">
      <c r="A1113" s="440">
        <v>2220304</v>
      </c>
      <c r="B1113" s="239" t="s">
        <v>1009</v>
      </c>
      <c r="C1113" s="461">
        <v>0</v>
      </c>
      <c r="D1113" s="461"/>
      <c r="E1113" s="461">
        <v>0</v>
      </c>
      <c r="F1113" s="457"/>
      <c r="G1113" s="458">
        <f t="shared" si="73"/>
        <v>0</v>
      </c>
      <c r="H1113" s="457"/>
      <c r="I1113" s="461"/>
      <c r="J1113" s="459">
        <f t="shared" si="72"/>
        <v>0</v>
      </c>
      <c r="K1113" s="460"/>
      <c r="M1113">
        <f t="shared" si="71"/>
        <v>0</v>
      </c>
      <c r="N1113" s="415"/>
      <c r="O1113" s="415"/>
    </row>
    <row r="1114" customFormat="1" ht="20" hidden="1" customHeight="1" spans="1:16">
      <c r="A1114" s="440">
        <v>2220305</v>
      </c>
      <c r="B1114" s="239" t="s">
        <v>1010</v>
      </c>
      <c r="C1114" s="461">
        <v>0</v>
      </c>
      <c r="D1114" s="461"/>
      <c r="E1114" s="461">
        <v>0</v>
      </c>
      <c r="F1114" s="457"/>
      <c r="G1114" s="458">
        <f t="shared" si="73"/>
        <v>0</v>
      </c>
      <c r="H1114" s="457"/>
      <c r="I1114" s="461"/>
      <c r="J1114" s="459">
        <f t="shared" si="72"/>
        <v>0</v>
      </c>
      <c r="K1114" s="460"/>
      <c r="M1114">
        <f t="shared" si="71"/>
        <v>0</v>
      </c>
      <c r="N1114" s="415"/>
      <c r="O1114" s="415"/>
    </row>
    <row r="1115" customFormat="1" ht="20" hidden="1" customHeight="1" spans="1:16">
      <c r="A1115" s="440">
        <v>2220306</v>
      </c>
      <c r="B1115" s="239" t="s">
        <v>1011</v>
      </c>
      <c r="C1115" s="461">
        <v>0</v>
      </c>
      <c r="D1115" s="461"/>
      <c r="E1115" s="461">
        <v>0</v>
      </c>
      <c r="F1115" s="457"/>
      <c r="G1115" s="458">
        <f t="shared" si="73"/>
        <v>0</v>
      </c>
      <c r="H1115" s="457"/>
      <c r="I1115" s="461"/>
      <c r="J1115" s="459">
        <f t="shared" si="72"/>
        <v>0</v>
      </c>
      <c r="K1115" s="460"/>
      <c r="M1115">
        <f t="shared" si="71"/>
        <v>0</v>
      </c>
      <c r="N1115" s="415"/>
      <c r="O1115" s="415"/>
    </row>
    <row r="1116" customFormat="1" ht="20" hidden="1" customHeight="1" spans="1:16">
      <c r="A1116" s="440">
        <v>2220399</v>
      </c>
      <c r="B1116" s="239" t="s">
        <v>1012</v>
      </c>
      <c r="C1116" s="461">
        <v>0</v>
      </c>
      <c r="D1116" s="461"/>
      <c r="E1116" s="461">
        <v>0</v>
      </c>
      <c r="F1116" s="457"/>
      <c r="G1116" s="458">
        <f t="shared" si="73"/>
        <v>0</v>
      </c>
      <c r="H1116" s="457"/>
      <c r="I1116" s="461"/>
      <c r="J1116" s="459">
        <f t="shared" si="72"/>
        <v>0</v>
      </c>
      <c r="K1116" s="460"/>
      <c r="M1116">
        <f t="shared" si="71"/>
        <v>0</v>
      </c>
      <c r="N1116" s="415"/>
      <c r="O1116" s="415"/>
    </row>
    <row r="1117" customFormat="1" ht="20" hidden="1" customHeight="1" spans="1:16">
      <c r="A1117" s="437">
        <v>22204</v>
      </c>
      <c r="B1117" s="427" t="s">
        <v>1013</v>
      </c>
      <c r="C1117" s="470">
        <f>SUM(C1118:C1122)</f>
        <v>200</v>
      </c>
      <c r="D1117" s="470">
        <f>SUM(D1118:D1122)</f>
        <v>19.816666</v>
      </c>
      <c r="E1117" s="470">
        <f>SUM(E1118:E1122)</f>
        <v>20</v>
      </c>
      <c r="F1117" s="457">
        <f>E1117/D1117*100</f>
        <v>100.925150577802</v>
      </c>
      <c r="G1117" s="458">
        <f t="shared" si="73"/>
        <v>-180</v>
      </c>
      <c r="H1117" s="457">
        <f>G1117/C1117*100</f>
        <v>-90</v>
      </c>
      <c r="I1117" s="470">
        <f>SUM(I1118:I1122)</f>
        <v>0</v>
      </c>
      <c r="J1117" s="459">
        <f t="shared" si="72"/>
        <v>-19.816666</v>
      </c>
      <c r="K1117" s="460">
        <f>J1117/D1117*100</f>
        <v>-100</v>
      </c>
      <c r="M1117">
        <f t="shared" si="71"/>
        <v>0</v>
      </c>
      <c r="N1117" s="415"/>
      <c r="O1117" s="415"/>
    </row>
    <row r="1118" customFormat="1" ht="20" hidden="1" customHeight="1" spans="1:16">
      <c r="A1118" s="440">
        <v>2220401</v>
      </c>
      <c r="B1118" s="239" t="s">
        <v>1014</v>
      </c>
      <c r="C1118" s="461">
        <v>0</v>
      </c>
      <c r="D1118" s="461"/>
      <c r="E1118" s="461">
        <v>0</v>
      </c>
      <c r="F1118" s="457"/>
      <c r="G1118" s="458">
        <f t="shared" si="73"/>
        <v>0</v>
      </c>
      <c r="H1118" s="457"/>
      <c r="I1118" s="461"/>
      <c r="J1118" s="459">
        <f t="shared" si="72"/>
        <v>0</v>
      </c>
      <c r="K1118" s="460"/>
      <c r="M1118">
        <f t="shared" si="71"/>
        <v>0</v>
      </c>
      <c r="N1118" s="415"/>
      <c r="O1118" s="415"/>
    </row>
    <row r="1119" customFormat="1" ht="20" hidden="1" customHeight="1" spans="1:16">
      <c r="A1119" s="440">
        <v>2220402</v>
      </c>
      <c r="B1119" s="239" t="s">
        <v>1015</v>
      </c>
      <c r="C1119" s="461">
        <v>0</v>
      </c>
      <c r="D1119" s="461"/>
      <c r="E1119" s="461">
        <v>0</v>
      </c>
      <c r="F1119" s="457"/>
      <c r="G1119" s="458">
        <f t="shared" si="73"/>
        <v>0</v>
      </c>
      <c r="H1119" s="457"/>
      <c r="I1119" s="461"/>
      <c r="J1119" s="459">
        <f t="shared" si="72"/>
        <v>0</v>
      </c>
      <c r="K1119" s="460"/>
      <c r="M1119">
        <f t="shared" si="71"/>
        <v>0</v>
      </c>
      <c r="N1119" s="415"/>
      <c r="O1119" s="415"/>
    </row>
    <row r="1120" customFormat="1" ht="20" hidden="1" customHeight="1" spans="1:16">
      <c r="A1120" s="440">
        <v>2220403</v>
      </c>
      <c r="B1120" s="239" t="s">
        <v>1016</v>
      </c>
      <c r="C1120" s="461">
        <v>200</v>
      </c>
      <c r="D1120" s="461"/>
      <c r="E1120" s="461"/>
      <c r="F1120" s="457"/>
      <c r="G1120" s="458">
        <f t="shared" si="73"/>
        <v>-200</v>
      </c>
      <c r="H1120" s="457">
        <f>G1120/C1120*100</f>
        <v>-100</v>
      </c>
      <c r="I1120" s="461"/>
      <c r="J1120" s="459">
        <f t="shared" si="72"/>
        <v>0</v>
      </c>
      <c r="K1120" s="460"/>
      <c r="M1120">
        <f t="shared" si="71"/>
        <v>0</v>
      </c>
      <c r="N1120" s="415"/>
      <c r="O1120" s="415"/>
      <c r="P1120">
        <v>150</v>
      </c>
    </row>
    <row r="1121" customFormat="1" ht="20" hidden="1" customHeight="1" spans="1:16">
      <c r="A1121" s="440">
        <v>2220404</v>
      </c>
      <c r="B1121" s="239" t="s">
        <v>1017</v>
      </c>
      <c r="C1121" s="461">
        <v>0</v>
      </c>
      <c r="D1121" s="461"/>
      <c r="E1121" s="461">
        <v>0</v>
      </c>
      <c r="F1121" s="457"/>
      <c r="G1121" s="458">
        <f t="shared" si="73"/>
        <v>0</v>
      </c>
      <c r="H1121" s="457"/>
      <c r="I1121" s="461"/>
      <c r="J1121" s="459">
        <f t="shared" si="72"/>
        <v>0</v>
      </c>
      <c r="K1121" s="460"/>
      <c r="M1121">
        <f t="shared" si="71"/>
        <v>0</v>
      </c>
      <c r="N1121" s="415"/>
      <c r="O1121" s="415"/>
    </row>
    <row r="1122" customFormat="1" ht="20" hidden="1" customHeight="1" spans="1:16">
      <c r="A1122" s="440">
        <v>2220499</v>
      </c>
      <c r="B1122" s="239" t="s">
        <v>1018</v>
      </c>
      <c r="C1122" s="461">
        <v>0</v>
      </c>
      <c r="D1122" s="466">
        <v>19.816666</v>
      </c>
      <c r="E1122" s="461">
        <v>20</v>
      </c>
      <c r="F1122" s="457">
        <f>E1122/D1122*100</f>
        <v>100.925150577802</v>
      </c>
      <c r="G1122" s="458">
        <f t="shared" si="73"/>
        <v>20</v>
      </c>
      <c r="H1122" s="457"/>
      <c r="I1122" s="466"/>
      <c r="J1122" s="459">
        <f t="shared" si="72"/>
        <v>-19.816666</v>
      </c>
      <c r="K1122" s="460">
        <f>J1122/D1122*100</f>
        <v>-100</v>
      </c>
      <c r="M1122">
        <f t="shared" si="71"/>
        <v>0</v>
      </c>
      <c r="N1122" s="415"/>
      <c r="O1122" s="415"/>
    </row>
    <row r="1123" customFormat="1" ht="20" hidden="1" customHeight="1" spans="1:16">
      <c r="A1123" s="437">
        <v>22205</v>
      </c>
      <c r="B1123" s="427" t="s">
        <v>1019</v>
      </c>
      <c r="C1123" s="461">
        <v>0</v>
      </c>
      <c r="D1123" s="461"/>
      <c r="E1123" s="461">
        <v>0</v>
      </c>
      <c r="F1123" s="457"/>
      <c r="G1123" s="458">
        <f t="shared" si="73"/>
        <v>0</v>
      </c>
      <c r="H1123" s="457"/>
      <c r="I1123" s="461"/>
      <c r="J1123" s="459">
        <f t="shared" si="72"/>
        <v>0</v>
      </c>
      <c r="K1123" s="460"/>
      <c r="M1123">
        <f t="shared" si="71"/>
        <v>0</v>
      </c>
      <c r="N1123" s="415"/>
      <c r="O1123" s="415"/>
    </row>
    <row r="1124" customFormat="1" ht="20" hidden="1" customHeight="1" spans="1:16">
      <c r="A1124" s="440">
        <v>2220501</v>
      </c>
      <c r="B1124" s="239" t="s">
        <v>1020</v>
      </c>
      <c r="C1124" s="464">
        <v>0</v>
      </c>
      <c r="D1124" s="461"/>
      <c r="E1124" s="464">
        <v>0</v>
      </c>
      <c r="F1124" s="457"/>
      <c r="G1124" s="458">
        <f t="shared" si="73"/>
        <v>0</v>
      </c>
      <c r="H1124" s="457"/>
      <c r="I1124" s="461"/>
      <c r="J1124" s="459">
        <f t="shared" si="72"/>
        <v>0</v>
      </c>
      <c r="K1124" s="460"/>
      <c r="M1124">
        <f t="shared" si="71"/>
        <v>0</v>
      </c>
      <c r="N1124" s="415"/>
      <c r="O1124" s="415"/>
    </row>
    <row r="1125" customFormat="1" ht="20" hidden="1" customHeight="1" spans="1:16">
      <c r="A1125" s="440">
        <v>2220502</v>
      </c>
      <c r="B1125" s="239" t="s">
        <v>1021</v>
      </c>
      <c r="C1125" s="464">
        <v>0</v>
      </c>
      <c r="D1125" s="461"/>
      <c r="E1125" s="464">
        <v>0</v>
      </c>
      <c r="F1125" s="457"/>
      <c r="G1125" s="458">
        <f t="shared" si="73"/>
        <v>0</v>
      </c>
      <c r="H1125" s="457"/>
      <c r="I1125" s="461"/>
      <c r="J1125" s="459">
        <f t="shared" si="72"/>
        <v>0</v>
      </c>
      <c r="K1125" s="460"/>
      <c r="M1125">
        <f t="shared" si="71"/>
        <v>0</v>
      </c>
      <c r="N1125" s="415"/>
      <c r="O1125" s="415"/>
      <c r="P1125">
        <v>22</v>
      </c>
    </row>
    <row r="1126" customFormat="1" ht="20" hidden="1" customHeight="1" spans="1:16">
      <c r="A1126" s="440">
        <v>2220503</v>
      </c>
      <c r="B1126" s="239" t="s">
        <v>1022</v>
      </c>
      <c r="C1126" s="464">
        <v>0</v>
      </c>
      <c r="D1126" s="461"/>
      <c r="E1126" s="464">
        <v>0</v>
      </c>
      <c r="F1126" s="457"/>
      <c r="G1126" s="458">
        <f t="shared" si="73"/>
        <v>0</v>
      </c>
      <c r="H1126" s="457"/>
      <c r="I1126" s="461"/>
      <c r="J1126" s="459">
        <f t="shared" si="72"/>
        <v>0</v>
      </c>
      <c r="K1126" s="460"/>
      <c r="M1126">
        <f t="shared" si="71"/>
        <v>0</v>
      </c>
      <c r="N1126" s="415"/>
      <c r="O1126" s="415"/>
    </row>
    <row r="1127" customFormat="1" ht="20" hidden="1" customHeight="1" spans="1:16">
      <c r="A1127" s="440">
        <v>2220504</v>
      </c>
      <c r="B1127" s="239" t="s">
        <v>1023</v>
      </c>
      <c r="C1127" s="464">
        <v>0</v>
      </c>
      <c r="D1127" s="461"/>
      <c r="E1127" s="464">
        <v>0</v>
      </c>
      <c r="F1127" s="457"/>
      <c r="G1127" s="458">
        <f t="shared" si="73"/>
        <v>0</v>
      </c>
      <c r="H1127" s="457"/>
      <c r="I1127" s="461"/>
      <c r="J1127" s="459">
        <f t="shared" si="72"/>
        <v>0</v>
      </c>
      <c r="K1127" s="460"/>
      <c r="M1127">
        <f t="shared" si="71"/>
        <v>0</v>
      </c>
      <c r="N1127" s="415"/>
      <c r="O1127" s="415"/>
    </row>
    <row r="1128" customFormat="1" ht="20" hidden="1" customHeight="1" spans="1:16">
      <c r="A1128" s="440">
        <v>2220505</v>
      </c>
      <c r="B1128" s="239" t="s">
        <v>1024</v>
      </c>
      <c r="C1128" s="464">
        <v>0</v>
      </c>
      <c r="D1128" s="461"/>
      <c r="E1128" s="464">
        <v>0</v>
      </c>
      <c r="F1128" s="457"/>
      <c r="G1128" s="458">
        <f t="shared" si="73"/>
        <v>0</v>
      </c>
      <c r="H1128" s="457"/>
      <c r="I1128" s="461"/>
      <c r="J1128" s="459">
        <f t="shared" si="72"/>
        <v>0</v>
      </c>
      <c r="K1128" s="460"/>
      <c r="M1128">
        <f t="shared" si="71"/>
        <v>0</v>
      </c>
      <c r="N1128" s="415"/>
      <c r="O1128" s="415"/>
    </row>
    <row r="1129" customFormat="1" ht="20" hidden="1" customHeight="1" spans="1:16">
      <c r="A1129" s="440">
        <v>2220506</v>
      </c>
      <c r="B1129" s="239" t="s">
        <v>1025</v>
      </c>
      <c r="C1129" s="464">
        <v>0</v>
      </c>
      <c r="D1129" s="461"/>
      <c r="E1129" s="464">
        <v>0</v>
      </c>
      <c r="F1129" s="457"/>
      <c r="G1129" s="458">
        <f t="shared" si="73"/>
        <v>0</v>
      </c>
      <c r="H1129" s="457"/>
      <c r="I1129" s="461"/>
      <c r="J1129" s="459">
        <f t="shared" si="72"/>
        <v>0</v>
      </c>
      <c r="K1129" s="460"/>
      <c r="M1129">
        <f t="shared" si="71"/>
        <v>0</v>
      </c>
      <c r="N1129" s="415"/>
      <c r="O1129" s="415"/>
    </row>
    <row r="1130" customFormat="1" ht="20" hidden="1" customHeight="1" spans="1:16">
      <c r="A1130" s="440">
        <v>2220507</v>
      </c>
      <c r="B1130" s="239" t="s">
        <v>1026</v>
      </c>
      <c r="C1130" s="464">
        <v>0</v>
      </c>
      <c r="D1130" s="461"/>
      <c r="E1130" s="464">
        <v>0</v>
      </c>
      <c r="F1130" s="457"/>
      <c r="G1130" s="458">
        <f t="shared" si="73"/>
        <v>0</v>
      </c>
      <c r="H1130" s="457"/>
      <c r="I1130" s="461"/>
      <c r="J1130" s="459">
        <f t="shared" si="72"/>
        <v>0</v>
      </c>
      <c r="K1130" s="460"/>
      <c r="M1130">
        <f t="shared" si="71"/>
        <v>0</v>
      </c>
      <c r="N1130" s="415"/>
      <c r="O1130" s="415"/>
    </row>
    <row r="1131" customFormat="1" ht="20" hidden="1" customHeight="1" spans="1:16">
      <c r="A1131" s="440">
        <v>2220508</v>
      </c>
      <c r="B1131" s="239" t="s">
        <v>1027</v>
      </c>
      <c r="C1131" s="464">
        <v>0</v>
      </c>
      <c r="D1131" s="461"/>
      <c r="E1131" s="464">
        <v>0</v>
      </c>
      <c r="F1131" s="457"/>
      <c r="G1131" s="458">
        <f t="shared" si="73"/>
        <v>0</v>
      </c>
      <c r="H1131" s="457"/>
      <c r="I1131" s="461"/>
      <c r="J1131" s="459">
        <f t="shared" si="72"/>
        <v>0</v>
      </c>
      <c r="K1131" s="460"/>
      <c r="M1131">
        <f t="shared" si="71"/>
        <v>0</v>
      </c>
      <c r="N1131" s="415"/>
      <c r="O1131" s="415"/>
    </row>
    <row r="1132" customFormat="1" ht="20" hidden="1" customHeight="1" spans="1:16">
      <c r="A1132" s="440">
        <v>2220509</v>
      </c>
      <c r="B1132" s="239" t="s">
        <v>1028</v>
      </c>
      <c r="C1132" s="464">
        <v>0</v>
      </c>
      <c r="D1132" s="461"/>
      <c r="E1132" s="464">
        <v>0</v>
      </c>
      <c r="F1132" s="457"/>
      <c r="G1132" s="458">
        <f t="shared" si="73"/>
        <v>0</v>
      </c>
      <c r="H1132" s="457"/>
      <c r="I1132" s="461"/>
      <c r="J1132" s="459">
        <f t="shared" si="72"/>
        <v>0</v>
      </c>
      <c r="K1132" s="460"/>
      <c r="M1132">
        <f t="shared" si="71"/>
        <v>0</v>
      </c>
      <c r="N1132" s="415"/>
      <c r="O1132" s="415"/>
    </row>
    <row r="1133" customFormat="1" ht="20" hidden="1" customHeight="1" spans="1:16">
      <c r="A1133" s="440">
        <v>2220510</v>
      </c>
      <c r="B1133" s="239" t="s">
        <v>1029</v>
      </c>
      <c r="C1133" s="464">
        <v>0</v>
      </c>
      <c r="D1133" s="461"/>
      <c r="E1133" s="464">
        <v>0</v>
      </c>
      <c r="F1133" s="457"/>
      <c r="G1133" s="458">
        <f t="shared" si="73"/>
        <v>0</v>
      </c>
      <c r="H1133" s="457"/>
      <c r="I1133" s="461"/>
      <c r="J1133" s="459">
        <f t="shared" si="72"/>
        <v>0</v>
      </c>
      <c r="K1133" s="460"/>
      <c r="M1133">
        <f t="shared" si="71"/>
        <v>0</v>
      </c>
      <c r="N1133" s="415"/>
      <c r="O1133" s="415"/>
    </row>
    <row r="1134" customFormat="1" ht="20" hidden="1" customHeight="1" spans="1:16">
      <c r="A1134" s="440">
        <v>2220511</v>
      </c>
      <c r="B1134" s="239" t="s">
        <v>1030</v>
      </c>
      <c r="C1134" s="464">
        <v>0</v>
      </c>
      <c r="D1134" s="461"/>
      <c r="E1134" s="464">
        <v>0</v>
      </c>
      <c r="F1134" s="457"/>
      <c r="G1134" s="458">
        <f t="shared" si="73"/>
        <v>0</v>
      </c>
      <c r="H1134" s="457"/>
      <c r="I1134" s="461"/>
      <c r="J1134" s="459">
        <f t="shared" si="72"/>
        <v>0</v>
      </c>
      <c r="K1134" s="460"/>
      <c r="M1134">
        <f t="shared" si="71"/>
        <v>0</v>
      </c>
      <c r="N1134" s="415"/>
      <c r="O1134" s="415"/>
    </row>
    <row r="1135" customFormat="1" ht="20" hidden="1" customHeight="1" spans="1:16">
      <c r="A1135" s="440">
        <v>2220599</v>
      </c>
      <c r="B1135" s="239" t="s">
        <v>1031</v>
      </c>
      <c r="C1135" s="464">
        <v>0</v>
      </c>
      <c r="D1135" s="461"/>
      <c r="E1135" s="464">
        <v>0</v>
      </c>
      <c r="F1135" s="457"/>
      <c r="G1135" s="458">
        <f t="shared" si="73"/>
        <v>0</v>
      </c>
      <c r="H1135" s="457"/>
      <c r="I1135" s="461"/>
      <c r="J1135" s="459">
        <f t="shared" si="72"/>
        <v>0</v>
      </c>
      <c r="K1135" s="460"/>
      <c r="M1135">
        <f t="shared" si="71"/>
        <v>0</v>
      </c>
      <c r="N1135" s="415"/>
      <c r="O1135" s="415"/>
    </row>
    <row r="1136" s="278" customFormat="1" ht="20" customHeight="1" spans="1:16">
      <c r="A1136" s="412">
        <v>224</v>
      </c>
      <c r="B1136" s="413" t="s">
        <v>1032</v>
      </c>
      <c r="C1136" s="307">
        <f>SUM(C1137:C1183)/2+C1184</f>
        <v>4055.42706</v>
      </c>
      <c r="D1136" s="307">
        <f>SUM(D1137:D1183)/2+D1184</f>
        <v>1006.641455</v>
      </c>
      <c r="E1136" s="307">
        <f>SUM(E1137:E1183)/2+E1184</f>
        <v>1674</v>
      </c>
      <c r="F1136" s="414">
        <f>E1136/D1136*100</f>
        <v>166.295555551107</v>
      </c>
      <c r="G1136" s="346">
        <f t="shared" si="73"/>
        <v>-2381.42706</v>
      </c>
      <c r="H1136" s="414">
        <f>G1136/C1136*100</f>
        <v>-58.7219798252271</v>
      </c>
      <c r="I1136" s="307">
        <f>SUM(I1137:I1183)/2+I1184</f>
        <v>1183.31144</v>
      </c>
      <c r="J1136" s="307">
        <f t="shared" si="72"/>
        <v>176.669985</v>
      </c>
      <c r="K1136" s="306">
        <f>J1136/D1136*100</f>
        <v>17.5504380554246</v>
      </c>
      <c r="M1136" s="278">
        <f t="shared" si="71"/>
        <v>0</v>
      </c>
      <c r="N1136" s="415"/>
      <c r="O1136" s="415"/>
    </row>
    <row r="1137" customFormat="1" ht="20" hidden="1" customHeight="1" spans="1:17">
      <c r="A1137" s="437">
        <v>22401</v>
      </c>
      <c r="B1137" s="427" t="s">
        <v>1033</v>
      </c>
      <c r="C1137" s="461">
        <f>SUM(C1138:C1147)</f>
        <v>873.338281</v>
      </c>
      <c r="D1137" s="461">
        <f>SUM(D1138:D1147)</f>
        <v>385.722117</v>
      </c>
      <c r="E1137" s="461">
        <f>SUM(E1138:E1147)</f>
        <v>520</v>
      </c>
      <c r="F1137" s="457">
        <f>E1137/D1137*100</f>
        <v>134.812077680264</v>
      </c>
      <c r="G1137" s="458">
        <f t="shared" si="73"/>
        <v>-353.338281</v>
      </c>
      <c r="H1137" s="457">
        <f>G1137/C1137*100</f>
        <v>-40.4583525865162</v>
      </c>
      <c r="I1137" s="461">
        <f>SUM(I1138:I1147)</f>
        <v>474.690962</v>
      </c>
      <c r="J1137" s="459">
        <f t="shared" si="72"/>
        <v>88.968845</v>
      </c>
      <c r="K1137" s="460">
        <f>J1137/D1137*100</f>
        <v>23.0655285447373</v>
      </c>
      <c r="M1137">
        <f t="shared" si="71"/>
        <v>0</v>
      </c>
      <c r="N1137" s="415"/>
      <c r="O1137" s="415"/>
    </row>
    <row r="1138" customFormat="1" ht="20" hidden="1" customHeight="1" spans="1:17">
      <c r="A1138" s="440">
        <v>2240101</v>
      </c>
      <c r="B1138" s="239" t="s">
        <v>731</v>
      </c>
      <c r="C1138" s="464">
        <v>437.293299</v>
      </c>
      <c r="D1138" s="466">
        <v>378.722117</v>
      </c>
      <c r="E1138" s="464">
        <v>505</v>
      </c>
      <c r="F1138" s="457">
        <f>E1138/D1138*100</f>
        <v>133.34314985359</v>
      </c>
      <c r="G1138" s="458">
        <f t="shared" si="73"/>
        <v>67.706701</v>
      </c>
      <c r="H1138" s="457">
        <f>G1138/C1138*100</f>
        <v>15.4831325233731</v>
      </c>
      <c r="I1138" s="462">
        <v>473.266462</v>
      </c>
      <c r="J1138" s="459">
        <f t="shared" si="72"/>
        <v>94.544345</v>
      </c>
      <c r="K1138" s="460">
        <f>J1138/D1138*100</f>
        <v>24.9640411151377</v>
      </c>
      <c r="M1138">
        <f t="shared" si="71"/>
        <v>428</v>
      </c>
      <c r="N1138" s="415">
        <v>428</v>
      </c>
      <c r="O1138" s="415"/>
    </row>
    <row r="1139" customFormat="1" ht="20" hidden="1" customHeight="1" spans="1:17">
      <c r="A1139" s="440">
        <v>2240102</v>
      </c>
      <c r="B1139" s="239" t="s">
        <v>732</v>
      </c>
      <c r="C1139" s="464">
        <v>0</v>
      </c>
      <c r="D1139" s="466">
        <v>7</v>
      </c>
      <c r="E1139" s="464">
        <v>10</v>
      </c>
      <c r="F1139" s="457">
        <f>E1139/D1139*100</f>
        <v>142.857142857143</v>
      </c>
      <c r="G1139" s="458">
        <f t="shared" si="73"/>
        <v>10</v>
      </c>
      <c r="H1139" s="457"/>
      <c r="I1139" s="462">
        <v>1.4245</v>
      </c>
      <c r="J1139" s="459">
        <f t="shared" si="72"/>
        <v>-5.5755</v>
      </c>
      <c r="K1139" s="460">
        <f>J1139/D1139*100</f>
        <v>-79.65</v>
      </c>
      <c r="M1139">
        <f t="shared" si="71"/>
        <v>0</v>
      </c>
      <c r="N1139" s="415"/>
      <c r="O1139" s="415"/>
    </row>
    <row r="1140" customFormat="1" ht="20" hidden="1" customHeight="1" spans="1:17">
      <c r="A1140" s="440">
        <v>2240103</v>
      </c>
      <c r="B1140" s="239" t="s">
        <v>733</v>
      </c>
      <c r="C1140" s="464">
        <v>0</v>
      </c>
      <c r="D1140" s="461"/>
      <c r="E1140" s="464">
        <v>0</v>
      </c>
      <c r="F1140" s="457"/>
      <c r="G1140" s="458">
        <f t="shared" si="73"/>
        <v>0</v>
      </c>
      <c r="H1140" s="457"/>
      <c r="I1140" s="461"/>
      <c r="J1140" s="459">
        <f t="shared" si="72"/>
        <v>0</v>
      </c>
      <c r="K1140" s="460"/>
      <c r="M1140">
        <f t="shared" si="71"/>
        <v>0</v>
      </c>
      <c r="N1140" s="415"/>
      <c r="O1140" s="415"/>
    </row>
    <row r="1141" customFormat="1" ht="20" hidden="1" customHeight="1" spans="1:17">
      <c r="A1141" s="440">
        <v>2240104</v>
      </c>
      <c r="B1141" s="239" t="s">
        <v>1034</v>
      </c>
      <c r="C1141" s="464">
        <v>0</v>
      </c>
      <c r="D1141" s="461"/>
      <c r="E1141" s="464">
        <v>0</v>
      </c>
      <c r="F1141" s="457"/>
      <c r="G1141" s="458">
        <f t="shared" si="73"/>
        <v>0</v>
      </c>
      <c r="H1141" s="457"/>
      <c r="I1141" s="461"/>
      <c r="J1141" s="459">
        <f t="shared" si="72"/>
        <v>0</v>
      </c>
      <c r="K1141" s="460"/>
      <c r="M1141">
        <f t="shared" si="71"/>
        <v>0</v>
      </c>
      <c r="N1141" s="415"/>
      <c r="O1141" s="415"/>
    </row>
    <row r="1142" customFormat="1" ht="20" hidden="1" customHeight="1" spans="1:17">
      <c r="A1142" s="440">
        <v>2240105</v>
      </c>
      <c r="B1142" s="239" t="s">
        <v>1035</v>
      </c>
      <c r="C1142" s="464">
        <v>0</v>
      </c>
      <c r="D1142" s="461"/>
      <c r="E1142" s="464">
        <v>0</v>
      </c>
      <c r="F1142" s="457"/>
      <c r="G1142" s="458">
        <f t="shared" si="73"/>
        <v>0</v>
      </c>
      <c r="H1142" s="457"/>
      <c r="I1142" s="461"/>
      <c r="J1142" s="459">
        <f t="shared" si="72"/>
        <v>0</v>
      </c>
      <c r="K1142" s="460"/>
      <c r="M1142">
        <f t="shared" ref="M1142:M1205" si="74">N1142+O1142</f>
        <v>0</v>
      </c>
      <c r="N1142" s="415"/>
      <c r="O1142" s="415"/>
    </row>
    <row r="1143" customFormat="1" ht="20" hidden="1" customHeight="1" spans="1:17">
      <c r="A1143" s="440">
        <v>2240106</v>
      </c>
      <c r="B1143" s="239" t="s">
        <v>1036</v>
      </c>
      <c r="C1143" s="464">
        <v>1.2653</v>
      </c>
      <c r="D1143" s="461"/>
      <c r="E1143" s="464"/>
      <c r="F1143" s="457"/>
      <c r="G1143" s="458">
        <f t="shared" si="73"/>
        <v>-1.2653</v>
      </c>
      <c r="H1143" s="457">
        <f t="shared" ref="H1143:H1150" si="75">G1143/C1143*100</f>
        <v>-100</v>
      </c>
      <c r="I1143" s="461"/>
      <c r="J1143" s="459">
        <f t="shared" si="72"/>
        <v>0</v>
      </c>
      <c r="K1143" s="460"/>
      <c r="M1143">
        <f t="shared" si="74"/>
        <v>0</v>
      </c>
      <c r="N1143" s="415"/>
      <c r="O1143" s="415"/>
    </row>
    <row r="1144" customFormat="1" ht="20" hidden="1" customHeight="1" spans="1:17">
      <c r="A1144" s="440">
        <v>2240108</v>
      </c>
      <c r="B1144" s="239" t="s">
        <v>1037</v>
      </c>
      <c r="C1144" s="464">
        <v>116.854945</v>
      </c>
      <c r="D1144" s="461"/>
      <c r="E1144" s="464"/>
      <c r="F1144" s="457"/>
      <c r="G1144" s="458">
        <f t="shared" si="73"/>
        <v>-116.854945</v>
      </c>
      <c r="H1144" s="457">
        <f t="shared" si="75"/>
        <v>-100</v>
      </c>
      <c r="I1144" s="461"/>
      <c r="J1144" s="459">
        <f t="shared" si="72"/>
        <v>0</v>
      </c>
      <c r="K1144" s="460"/>
      <c r="M1144">
        <f t="shared" si="74"/>
        <v>0</v>
      </c>
      <c r="N1144" s="415"/>
      <c r="O1144" s="415"/>
    </row>
    <row r="1145" customFormat="1" ht="20" hidden="1" customHeight="1" spans="1:17">
      <c r="A1145" s="440">
        <v>2240109</v>
      </c>
      <c r="B1145" s="239" t="s">
        <v>1038</v>
      </c>
      <c r="C1145" s="464">
        <v>1</v>
      </c>
      <c r="D1145" s="461"/>
      <c r="E1145" s="464"/>
      <c r="F1145" s="457"/>
      <c r="G1145" s="458">
        <f t="shared" si="73"/>
        <v>-1</v>
      </c>
      <c r="H1145" s="457">
        <f t="shared" si="75"/>
        <v>-100</v>
      </c>
      <c r="I1145" s="461"/>
      <c r="J1145" s="459">
        <f t="shared" si="72"/>
        <v>0</v>
      </c>
      <c r="K1145" s="460"/>
      <c r="M1145">
        <f t="shared" si="74"/>
        <v>1</v>
      </c>
      <c r="N1145" s="415">
        <v>1</v>
      </c>
      <c r="O1145" s="415"/>
    </row>
    <row r="1146" customFormat="1" ht="20" hidden="1" customHeight="1" spans="1:17">
      <c r="A1146" s="440">
        <v>2240150</v>
      </c>
      <c r="B1146" s="239" t="s">
        <v>750</v>
      </c>
      <c r="C1146" s="464">
        <v>305.496137</v>
      </c>
      <c r="D1146" s="461"/>
      <c r="E1146" s="464"/>
      <c r="F1146" s="457"/>
      <c r="G1146" s="458">
        <f t="shared" si="73"/>
        <v>-305.496137</v>
      </c>
      <c r="H1146" s="457">
        <f t="shared" si="75"/>
        <v>-100</v>
      </c>
      <c r="I1146" s="461"/>
      <c r="J1146" s="459">
        <f t="shared" si="72"/>
        <v>0</v>
      </c>
      <c r="K1146" s="460"/>
      <c r="M1146">
        <f t="shared" si="74"/>
        <v>441</v>
      </c>
      <c r="N1146" s="415">
        <v>441</v>
      </c>
      <c r="O1146" s="415"/>
    </row>
    <row r="1147" customFormat="1" ht="20" hidden="1" customHeight="1" spans="1:17">
      <c r="A1147" s="440">
        <v>2240199</v>
      </c>
      <c r="B1147" s="239" t="s">
        <v>1039</v>
      </c>
      <c r="C1147" s="464">
        <v>11.4286</v>
      </c>
      <c r="D1147" s="461"/>
      <c r="E1147" s="464">
        <v>5</v>
      </c>
      <c r="F1147" s="457"/>
      <c r="G1147" s="458">
        <f t="shared" si="73"/>
        <v>-6.4286</v>
      </c>
      <c r="H1147" s="457">
        <f t="shared" si="75"/>
        <v>-56.2501093747266</v>
      </c>
      <c r="I1147" s="461"/>
      <c r="J1147" s="459">
        <f t="shared" si="72"/>
        <v>0</v>
      </c>
      <c r="K1147" s="460"/>
      <c r="M1147">
        <f t="shared" si="74"/>
        <v>0</v>
      </c>
      <c r="N1147" s="415"/>
      <c r="O1147" s="415"/>
      <c r="Q1147">
        <v>140</v>
      </c>
    </row>
    <row r="1148" customFormat="1" ht="20" hidden="1" customHeight="1" spans="1:17">
      <c r="A1148" s="437">
        <v>22402</v>
      </c>
      <c r="B1148" s="427" t="s">
        <v>1040</v>
      </c>
      <c r="C1148" s="461">
        <f>SUM(C1149:C1154)</f>
        <v>924.192257</v>
      </c>
      <c r="D1148" s="461">
        <f>SUM(D1149:D1154)</f>
        <v>258.399338</v>
      </c>
      <c r="E1148" s="461">
        <f>SUM(E1149:E1154)</f>
        <v>828</v>
      </c>
      <c r="F1148" s="457">
        <f>E1148/D1148*100</f>
        <v>320.434257459282</v>
      </c>
      <c r="G1148" s="458">
        <f t="shared" si="73"/>
        <v>-96.192257</v>
      </c>
      <c r="H1148" s="457">
        <f t="shared" si="75"/>
        <v>-10.4082517756909</v>
      </c>
      <c r="I1148" s="461">
        <f>SUM(I1149:I1154)</f>
        <v>574.280478</v>
      </c>
      <c r="J1148" s="459">
        <f t="shared" si="72"/>
        <v>315.88114</v>
      </c>
      <c r="K1148" s="460">
        <f>J1148/D1148*100</f>
        <v>122.245336402526</v>
      </c>
      <c r="M1148">
        <f t="shared" si="74"/>
        <v>0</v>
      </c>
      <c r="N1148" s="415"/>
      <c r="O1148" s="415"/>
    </row>
    <row r="1149" customFormat="1" ht="20" hidden="1" customHeight="1" spans="1:17">
      <c r="A1149" s="440">
        <v>2240201</v>
      </c>
      <c r="B1149" s="239" t="s">
        <v>731</v>
      </c>
      <c r="C1149" s="464">
        <v>9.2292</v>
      </c>
      <c r="D1149" s="461"/>
      <c r="E1149" s="464"/>
      <c r="F1149" s="457"/>
      <c r="G1149" s="458">
        <f t="shared" si="73"/>
        <v>-9.2292</v>
      </c>
      <c r="H1149" s="457">
        <f t="shared" si="75"/>
        <v>-100</v>
      </c>
      <c r="I1149" s="461"/>
      <c r="J1149" s="459">
        <f t="shared" si="72"/>
        <v>0</v>
      </c>
      <c r="K1149" s="460"/>
      <c r="M1149">
        <f t="shared" si="74"/>
        <v>0</v>
      </c>
      <c r="N1149" s="415"/>
      <c r="O1149" s="415"/>
    </row>
    <row r="1150" customFormat="1" ht="20" hidden="1" customHeight="1" spans="1:17">
      <c r="A1150" s="440">
        <v>2240202</v>
      </c>
      <c r="B1150" s="239" t="s">
        <v>732</v>
      </c>
      <c r="C1150" s="464">
        <v>201.908</v>
      </c>
      <c r="D1150" s="466">
        <v>69.337953</v>
      </c>
      <c r="E1150" s="464">
        <v>254</v>
      </c>
      <c r="F1150" s="457">
        <f>E1150/D1150*100</f>
        <v>366.321745898671</v>
      </c>
      <c r="G1150" s="458">
        <f t="shared" si="73"/>
        <v>52.092</v>
      </c>
      <c r="H1150" s="457">
        <f t="shared" si="75"/>
        <v>25.79986924738</v>
      </c>
      <c r="I1150" s="462">
        <v>247.970478</v>
      </c>
      <c r="J1150" s="459">
        <f t="shared" si="72"/>
        <v>178.632525</v>
      </c>
      <c r="K1150" s="460">
        <f>J1150/D1150*100</f>
        <v>257.625899339717</v>
      </c>
      <c r="M1150">
        <f t="shared" si="74"/>
        <v>134</v>
      </c>
      <c r="N1150" s="415">
        <v>134</v>
      </c>
      <c r="O1150" s="415"/>
    </row>
    <row r="1151" customFormat="1" ht="20" hidden="1" customHeight="1" spans="1:17">
      <c r="A1151" s="440">
        <v>2240203</v>
      </c>
      <c r="B1151" s="239" t="s">
        <v>733</v>
      </c>
      <c r="C1151" s="464">
        <v>0</v>
      </c>
      <c r="D1151" s="461"/>
      <c r="E1151" s="464">
        <v>0</v>
      </c>
      <c r="F1151" s="457"/>
      <c r="G1151" s="458">
        <f t="shared" si="73"/>
        <v>0</v>
      </c>
      <c r="H1151" s="457"/>
      <c r="I1151" s="461"/>
      <c r="J1151" s="459">
        <f t="shared" si="72"/>
        <v>0</v>
      </c>
      <c r="K1151" s="460"/>
      <c r="M1151">
        <f t="shared" si="74"/>
        <v>0</v>
      </c>
      <c r="N1151" s="415"/>
      <c r="O1151" s="415"/>
    </row>
    <row r="1152" customFormat="1" ht="20" hidden="1" customHeight="1" spans="1:17">
      <c r="A1152" s="440">
        <v>2240204</v>
      </c>
      <c r="B1152" s="239" t="s">
        <v>1041</v>
      </c>
      <c r="C1152" s="464">
        <v>713.055057</v>
      </c>
      <c r="D1152" s="461">
        <v>189.061385</v>
      </c>
      <c r="E1152" s="464">
        <v>574</v>
      </c>
      <c r="F1152" s="457">
        <f>E1152/D1152*100</f>
        <v>303.605096302452</v>
      </c>
      <c r="G1152" s="458">
        <f t="shared" si="73"/>
        <v>-139.055057</v>
      </c>
      <c r="H1152" s="457">
        <f>G1152/C1152*100</f>
        <v>-19.50130717606</v>
      </c>
      <c r="I1152" s="461">
        <v>326.31</v>
      </c>
      <c r="J1152" s="459">
        <f t="shared" si="72"/>
        <v>137.248615</v>
      </c>
      <c r="K1152" s="460">
        <f>J1152/D1152*100</f>
        <v>72.5947368892913</v>
      </c>
      <c r="M1152">
        <f t="shared" si="74"/>
        <v>101</v>
      </c>
      <c r="N1152" s="415">
        <v>101</v>
      </c>
      <c r="O1152" s="415"/>
    </row>
    <row r="1153" customFormat="1" ht="20" hidden="1" customHeight="1" spans="1:15">
      <c r="A1153" s="440">
        <v>2240250</v>
      </c>
      <c r="B1153" s="239" t="s">
        <v>750</v>
      </c>
      <c r="C1153" s="464">
        <v>0</v>
      </c>
      <c r="D1153" s="461"/>
      <c r="E1153" s="464">
        <v>0</v>
      </c>
      <c r="F1153" s="457"/>
      <c r="G1153" s="458">
        <f t="shared" si="73"/>
        <v>0</v>
      </c>
      <c r="H1153" s="457"/>
      <c r="I1153" s="461"/>
      <c r="J1153" s="459">
        <f t="shared" si="72"/>
        <v>0</v>
      </c>
      <c r="K1153" s="460"/>
      <c r="M1153">
        <f t="shared" si="74"/>
        <v>0</v>
      </c>
      <c r="N1153" s="415"/>
      <c r="O1153" s="415"/>
    </row>
    <row r="1154" customFormat="1" ht="20" hidden="1" customHeight="1" spans="1:15">
      <c r="A1154" s="440">
        <v>2240299</v>
      </c>
      <c r="B1154" s="239" t="s">
        <v>1042</v>
      </c>
      <c r="C1154" s="464">
        <v>0</v>
      </c>
      <c r="D1154" s="461"/>
      <c r="E1154" s="464">
        <v>0</v>
      </c>
      <c r="F1154" s="457"/>
      <c r="G1154" s="458">
        <f t="shared" si="73"/>
        <v>0</v>
      </c>
      <c r="H1154" s="457"/>
      <c r="I1154" s="461"/>
      <c r="J1154" s="459">
        <f t="shared" si="72"/>
        <v>0</v>
      </c>
      <c r="K1154" s="460"/>
      <c r="M1154">
        <f t="shared" si="74"/>
        <v>0</v>
      </c>
      <c r="N1154" s="415"/>
      <c r="O1154" s="415"/>
    </row>
    <row r="1155" customFormat="1" ht="20" hidden="1" customHeight="1" spans="1:15">
      <c r="A1155" s="437">
        <v>22404</v>
      </c>
      <c r="B1155" s="427" t="s">
        <v>1043</v>
      </c>
      <c r="C1155" s="461">
        <v>0</v>
      </c>
      <c r="D1155" s="461"/>
      <c r="E1155" s="461">
        <v>0</v>
      </c>
      <c r="F1155" s="457"/>
      <c r="G1155" s="458">
        <f t="shared" si="73"/>
        <v>0</v>
      </c>
      <c r="H1155" s="457"/>
      <c r="I1155" s="461"/>
      <c r="J1155" s="459">
        <f t="shared" si="72"/>
        <v>0</v>
      </c>
      <c r="K1155" s="460"/>
      <c r="M1155">
        <f t="shared" si="74"/>
        <v>0</v>
      </c>
      <c r="N1155" s="415"/>
      <c r="O1155" s="415"/>
    </row>
    <row r="1156" customFormat="1" ht="20" hidden="1" customHeight="1" spans="1:15">
      <c r="A1156" s="440">
        <v>2240401</v>
      </c>
      <c r="B1156" s="239" t="s">
        <v>731</v>
      </c>
      <c r="C1156" s="464">
        <v>0</v>
      </c>
      <c r="D1156" s="461"/>
      <c r="E1156" s="464">
        <v>0</v>
      </c>
      <c r="F1156" s="457"/>
      <c r="G1156" s="458">
        <f t="shared" si="73"/>
        <v>0</v>
      </c>
      <c r="H1156" s="457"/>
      <c r="I1156" s="461"/>
      <c r="J1156" s="459">
        <f t="shared" si="72"/>
        <v>0</v>
      </c>
      <c r="K1156" s="460"/>
      <c r="M1156">
        <f t="shared" si="74"/>
        <v>0</v>
      </c>
      <c r="N1156" s="415"/>
      <c r="O1156" s="415"/>
    </row>
    <row r="1157" customFormat="1" ht="20" hidden="1" customHeight="1" spans="1:15">
      <c r="A1157" s="440">
        <v>2240402</v>
      </c>
      <c r="B1157" s="239" t="s">
        <v>732</v>
      </c>
      <c r="C1157" s="464">
        <v>0</v>
      </c>
      <c r="D1157" s="461"/>
      <c r="E1157" s="464">
        <v>0</v>
      </c>
      <c r="F1157" s="457"/>
      <c r="G1157" s="458">
        <f t="shared" si="73"/>
        <v>0</v>
      </c>
      <c r="H1157" s="457"/>
      <c r="I1157" s="461"/>
      <c r="J1157" s="459">
        <f t="shared" si="72"/>
        <v>0</v>
      </c>
      <c r="K1157" s="460"/>
      <c r="M1157">
        <f t="shared" si="74"/>
        <v>0</v>
      </c>
      <c r="N1157" s="415"/>
      <c r="O1157" s="415"/>
    </row>
    <row r="1158" customFormat="1" ht="20" hidden="1" customHeight="1" spans="1:15">
      <c r="A1158" s="440">
        <v>2240403</v>
      </c>
      <c r="B1158" s="239" t="s">
        <v>733</v>
      </c>
      <c r="C1158" s="464">
        <v>0</v>
      </c>
      <c r="D1158" s="461"/>
      <c r="E1158" s="464">
        <v>0</v>
      </c>
      <c r="F1158" s="457"/>
      <c r="G1158" s="458">
        <f t="shared" si="73"/>
        <v>0</v>
      </c>
      <c r="H1158" s="457"/>
      <c r="I1158" s="461"/>
      <c r="J1158" s="459">
        <f t="shared" si="72"/>
        <v>0</v>
      </c>
      <c r="K1158" s="460"/>
      <c r="M1158">
        <f t="shared" si="74"/>
        <v>0</v>
      </c>
      <c r="N1158" s="415"/>
      <c r="O1158" s="415"/>
    </row>
    <row r="1159" customFormat="1" ht="20" hidden="1" customHeight="1" spans="1:15">
      <c r="A1159" s="440">
        <v>2240404</v>
      </c>
      <c r="B1159" s="239" t="s">
        <v>1044</v>
      </c>
      <c r="C1159" s="464">
        <v>0</v>
      </c>
      <c r="D1159" s="461"/>
      <c r="E1159" s="464">
        <v>0</v>
      </c>
      <c r="F1159" s="457"/>
      <c r="G1159" s="458">
        <f t="shared" si="73"/>
        <v>0</v>
      </c>
      <c r="H1159" s="457"/>
      <c r="I1159" s="461"/>
      <c r="J1159" s="459">
        <f t="shared" ref="J1159:J1215" si="76">I1159-D1159</f>
        <v>0</v>
      </c>
      <c r="K1159" s="460"/>
      <c r="M1159">
        <f t="shared" si="74"/>
        <v>0</v>
      </c>
      <c r="N1159" s="415"/>
      <c r="O1159" s="415"/>
    </row>
    <row r="1160" customFormat="1" ht="20" hidden="1" customHeight="1" spans="1:15">
      <c r="A1160" s="440">
        <v>2240405</v>
      </c>
      <c r="B1160" s="239" t="s">
        <v>1045</v>
      </c>
      <c r="C1160" s="464">
        <v>0</v>
      </c>
      <c r="D1160" s="461"/>
      <c r="E1160" s="464">
        <v>0</v>
      </c>
      <c r="F1160" s="457"/>
      <c r="G1160" s="458">
        <f t="shared" ref="G1160:G1215" si="77">E1160-C1160</f>
        <v>0</v>
      </c>
      <c r="H1160" s="457"/>
      <c r="I1160" s="461"/>
      <c r="J1160" s="459">
        <f t="shared" si="76"/>
        <v>0</v>
      </c>
      <c r="K1160" s="460"/>
      <c r="M1160">
        <f t="shared" si="74"/>
        <v>0</v>
      </c>
      <c r="N1160" s="415"/>
      <c r="O1160" s="415"/>
    </row>
    <row r="1161" customFormat="1" ht="20" hidden="1" customHeight="1" spans="1:15">
      <c r="A1161" s="440">
        <v>2240450</v>
      </c>
      <c r="B1161" s="239" t="s">
        <v>750</v>
      </c>
      <c r="C1161" s="464">
        <v>0</v>
      </c>
      <c r="D1161" s="461"/>
      <c r="E1161" s="464">
        <v>0</v>
      </c>
      <c r="F1161" s="457"/>
      <c r="G1161" s="458">
        <f t="shared" si="77"/>
        <v>0</v>
      </c>
      <c r="H1161" s="457"/>
      <c r="I1161" s="461"/>
      <c r="J1161" s="459">
        <f t="shared" si="76"/>
        <v>0</v>
      </c>
      <c r="K1161" s="460"/>
      <c r="M1161">
        <f t="shared" si="74"/>
        <v>0</v>
      </c>
      <c r="N1161" s="415"/>
      <c r="O1161" s="415"/>
    </row>
    <row r="1162" customFormat="1" ht="20" hidden="1" customHeight="1" spans="1:15">
      <c r="A1162" s="440">
        <v>2240499</v>
      </c>
      <c r="B1162" s="239" t="s">
        <v>1046</v>
      </c>
      <c r="C1162" s="464">
        <v>0</v>
      </c>
      <c r="D1162" s="461"/>
      <c r="E1162" s="464">
        <v>0</v>
      </c>
      <c r="F1162" s="457"/>
      <c r="G1162" s="458">
        <f t="shared" si="77"/>
        <v>0</v>
      </c>
      <c r="H1162" s="457"/>
      <c r="I1162" s="461"/>
      <c r="J1162" s="459">
        <f t="shared" si="76"/>
        <v>0</v>
      </c>
      <c r="K1162" s="460"/>
      <c r="M1162">
        <f t="shared" si="74"/>
        <v>0</v>
      </c>
      <c r="N1162" s="415"/>
      <c r="O1162" s="415"/>
    </row>
    <row r="1163" customFormat="1" ht="20" hidden="1" customHeight="1" spans="1:15">
      <c r="A1163" s="437">
        <v>22405</v>
      </c>
      <c r="B1163" s="427" t="s">
        <v>1047</v>
      </c>
      <c r="C1163" s="470">
        <f>SUM(C1164:C1175)</f>
        <v>0</v>
      </c>
      <c r="D1163" s="470">
        <f>SUM(D1164:D1175)</f>
        <v>0</v>
      </c>
      <c r="E1163" s="470">
        <f>SUM(E1164:E1175)</f>
        <v>0</v>
      </c>
      <c r="F1163" s="457"/>
      <c r="G1163" s="458">
        <f t="shared" si="77"/>
        <v>0</v>
      </c>
      <c r="H1163" s="457"/>
      <c r="I1163" s="470">
        <f>SUM(I1164:I1175)</f>
        <v>0</v>
      </c>
      <c r="J1163" s="459">
        <f t="shared" si="76"/>
        <v>0</v>
      </c>
      <c r="K1163" s="460"/>
      <c r="M1163">
        <f t="shared" si="74"/>
        <v>0</v>
      </c>
      <c r="N1163" s="415"/>
      <c r="O1163" s="415"/>
    </row>
    <row r="1164" customFormat="1" ht="20" hidden="1" customHeight="1" spans="1:15">
      <c r="A1164" s="440">
        <v>2240501</v>
      </c>
      <c r="B1164" s="239" t="s">
        <v>731</v>
      </c>
      <c r="C1164" s="464">
        <v>0</v>
      </c>
      <c r="D1164" s="461"/>
      <c r="E1164" s="464">
        <v>0</v>
      </c>
      <c r="F1164" s="457"/>
      <c r="G1164" s="458">
        <f t="shared" si="77"/>
        <v>0</v>
      </c>
      <c r="H1164" s="457"/>
      <c r="I1164" s="461"/>
      <c r="J1164" s="459">
        <f t="shared" si="76"/>
        <v>0</v>
      </c>
      <c r="K1164" s="460"/>
      <c r="M1164">
        <f t="shared" si="74"/>
        <v>0</v>
      </c>
      <c r="N1164" s="415"/>
      <c r="O1164" s="415"/>
    </row>
    <row r="1165" customFormat="1" ht="20" hidden="1" customHeight="1" spans="1:15">
      <c r="A1165" s="440">
        <v>2240502</v>
      </c>
      <c r="B1165" s="239" t="s">
        <v>732</v>
      </c>
      <c r="C1165" s="464">
        <v>0</v>
      </c>
      <c r="D1165" s="461"/>
      <c r="E1165" s="464">
        <v>0</v>
      </c>
      <c r="F1165" s="457"/>
      <c r="G1165" s="458">
        <f t="shared" si="77"/>
        <v>0</v>
      </c>
      <c r="H1165" s="457"/>
      <c r="I1165" s="461"/>
      <c r="J1165" s="459">
        <f t="shared" si="76"/>
        <v>0</v>
      </c>
      <c r="K1165" s="460"/>
      <c r="M1165">
        <f t="shared" si="74"/>
        <v>0</v>
      </c>
      <c r="N1165" s="415"/>
      <c r="O1165" s="415"/>
    </row>
    <row r="1166" customFormat="1" ht="20" hidden="1" customHeight="1" spans="1:15">
      <c r="A1166" s="440">
        <v>2240503</v>
      </c>
      <c r="B1166" s="239" t="s">
        <v>733</v>
      </c>
      <c r="C1166" s="464">
        <v>0</v>
      </c>
      <c r="D1166" s="461"/>
      <c r="E1166" s="464">
        <v>0</v>
      </c>
      <c r="F1166" s="457"/>
      <c r="G1166" s="458">
        <f t="shared" si="77"/>
        <v>0</v>
      </c>
      <c r="H1166" s="457"/>
      <c r="I1166" s="461"/>
      <c r="J1166" s="459">
        <f t="shared" si="76"/>
        <v>0</v>
      </c>
      <c r="K1166" s="460"/>
      <c r="M1166">
        <f t="shared" si="74"/>
        <v>0</v>
      </c>
      <c r="N1166" s="415"/>
      <c r="O1166" s="415"/>
    </row>
    <row r="1167" customFormat="1" ht="20" hidden="1" customHeight="1" spans="1:15">
      <c r="A1167" s="440">
        <v>2240504</v>
      </c>
      <c r="B1167" s="239" t="s">
        <v>1048</v>
      </c>
      <c r="C1167" s="464">
        <v>0</v>
      </c>
      <c r="D1167" s="461"/>
      <c r="E1167" s="464">
        <v>0</v>
      </c>
      <c r="F1167" s="457"/>
      <c r="G1167" s="458">
        <f t="shared" si="77"/>
        <v>0</v>
      </c>
      <c r="H1167" s="457"/>
      <c r="I1167" s="461"/>
      <c r="J1167" s="459">
        <f t="shared" si="76"/>
        <v>0</v>
      </c>
      <c r="K1167" s="460"/>
      <c r="M1167">
        <f t="shared" si="74"/>
        <v>0</v>
      </c>
      <c r="N1167" s="415"/>
      <c r="O1167" s="415"/>
    </row>
    <row r="1168" customFormat="1" ht="20" hidden="1" customHeight="1" spans="1:15">
      <c r="A1168" s="440">
        <v>2240505</v>
      </c>
      <c r="B1168" s="239" t="s">
        <v>1049</v>
      </c>
      <c r="C1168" s="464">
        <v>0</v>
      </c>
      <c r="D1168" s="461"/>
      <c r="E1168" s="464">
        <v>0</v>
      </c>
      <c r="F1168" s="457"/>
      <c r="G1168" s="458">
        <f t="shared" si="77"/>
        <v>0</v>
      </c>
      <c r="H1168" s="457"/>
      <c r="I1168" s="461"/>
      <c r="J1168" s="459">
        <f t="shared" si="76"/>
        <v>0</v>
      </c>
      <c r="K1168" s="460"/>
      <c r="M1168">
        <f t="shared" si="74"/>
        <v>0</v>
      </c>
      <c r="N1168" s="415"/>
      <c r="O1168" s="415"/>
    </row>
    <row r="1169" customFormat="1" ht="20" hidden="1" customHeight="1" spans="1:17">
      <c r="A1169" s="440">
        <v>2240506</v>
      </c>
      <c r="B1169" s="239" t="s">
        <v>1050</v>
      </c>
      <c r="C1169" s="464">
        <v>0</v>
      </c>
      <c r="D1169" s="461"/>
      <c r="E1169" s="464">
        <v>0</v>
      </c>
      <c r="F1169" s="457"/>
      <c r="G1169" s="458">
        <f t="shared" si="77"/>
        <v>0</v>
      </c>
      <c r="H1169" s="457"/>
      <c r="I1169" s="461"/>
      <c r="J1169" s="459">
        <f t="shared" si="76"/>
        <v>0</v>
      </c>
      <c r="K1169" s="460"/>
      <c r="M1169">
        <f t="shared" si="74"/>
        <v>0</v>
      </c>
      <c r="N1169" s="415"/>
      <c r="O1169" s="415"/>
    </row>
    <row r="1170" customFormat="1" ht="20" hidden="1" customHeight="1" spans="1:17">
      <c r="A1170" s="440">
        <v>2240507</v>
      </c>
      <c r="B1170" s="239" t="s">
        <v>1051</v>
      </c>
      <c r="C1170" s="464">
        <v>0</v>
      </c>
      <c r="D1170" s="461"/>
      <c r="E1170" s="464">
        <v>0</v>
      </c>
      <c r="F1170" s="457"/>
      <c r="G1170" s="458">
        <f t="shared" si="77"/>
        <v>0</v>
      </c>
      <c r="H1170" s="457"/>
      <c r="I1170" s="461"/>
      <c r="J1170" s="459">
        <f t="shared" si="76"/>
        <v>0</v>
      </c>
      <c r="K1170" s="460"/>
      <c r="M1170">
        <f t="shared" si="74"/>
        <v>0</v>
      </c>
      <c r="N1170" s="415"/>
      <c r="O1170" s="415"/>
    </row>
    <row r="1171" customFormat="1" ht="20" hidden="1" customHeight="1" spans="1:17">
      <c r="A1171" s="440">
        <v>2240508</v>
      </c>
      <c r="B1171" s="239" t="s">
        <v>1052</v>
      </c>
      <c r="C1171" s="464">
        <v>0</v>
      </c>
      <c r="D1171" s="461"/>
      <c r="E1171" s="464">
        <v>0</v>
      </c>
      <c r="F1171" s="457"/>
      <c r="G1171" s="458">
        <f t="shared" si="77"/>
        <v>0</v>
      </c>
      <c r="H1171" s="457"/>
      <c r="I1171" s="461"/>
      <c r="J1171" s="459">
        <f t="shared" si="76"/>
        <v>0</v>
      </c>
      <c r="K1171" s="460"/>
      <c r="M1171">
        <f t="shared" si="74"/>
        <v>0</v>
      </c>
      <c r="N1171" s="415"/>
      <c r="O1171" s="415"/>
    </row>
    <row r="1172" customFormat="1" ht="20" hidden="1" customHeight="1" spans="1:17">
      <c r="A1172" s="440">
        <v>2240509</v>
      </c>
      <c r="B1172" s="239" t="s">
        <v>1053</v>
      </c>
      <c r="C1172" s="464">
        <v>0</v>
      </c>
      <c r="D1172" s="461"/>
      <c r="E1172" s="464">
        <v>0</v>
      </c>
      <c r="F1172" s="457"/>
      <c r="G1172" s="458">
        <f t="shared" si="77"/>
        <v>0</v>
      </c>
      <c r="H1172" s="457"/>
      <c r="I1172" s="461"/>
      <c r="J1172" s="459">
        <f t="shared" si="76"/>
        <v>0</v>
      </c>
      <c r="K1172" s="460"/>
      <c r="M1172">
        <f t="shared" si="74"/>
        <v>0</v>
      </c>
      <c r="N1172" s="415"/>
      <c r="O1172" s="415"/>
    </row>
    <row r="1173" customFormat="1" ht="20" hidden="1" customHeight="1" spans="1:17">
      <c r="A1173" s="440">
        <v>2240510</v>
      </c>
      <c r="B1173" s="239" t="s">
        <v>1054</v>
      </c>
      <c r="C1173" s="464">
        <v>0</v>
      </c>
      <c r="D1173" s="461"/>
      <c r="E1173" s="464">
        <v>0</v>
      </c>
      <c r="F1173" s="457"/>
      <c r="G1173" s="458">
        <f t="shared" si="77"/>
        <v>0</v>
      </c>
      <c r="H1173" s="457"/>
      <c r="I1173" s="461"/>
      <c r="J1173" s="459">
        <f t="shared" si="76"/>
        <v>0</v>
      </c>
      <c r="K1173" s="460"/>
      <c r="M1173">
        <f t="shared" si="74"/>
        <v>0</v>
      </c>
      <c r="N1173" s="415"/>
      <c r="O1173" s="415"/>
    </row>
    <row r="1174" customFormat="1" ht="20" hidden="1" customHeight="1" spans="1:17">
      <c r="A1174" s="440">
        <v>2240550</v>
      </c>
      <c r="B1174" s="239" t="s">
        <v>1055</v>
      </c>
      <c r="C1174" s="464">
        <v>0</v>
      </c>
      <c r="D1174" s="461"/>
      <c r="E1174" s="464">
        <v>0</v>
      </c>
      <c r="F1174" s="457"/>
      <c r="G1174" s="458">
        <f t="shared" si="77"/>
        <v>0</v>
      </c>
      <c r="H1174" s="457"/>
      <c r="I1174" s="461"/>
      <c r="J1174" s="459">
        <f t="shared" si="76"/>
        <v>0</v>
      </c>
      <c r="K1174" s="460"/>
      <c r="M1174">
        <f t="shared" si="74"/>
        <v>0</v>
      </c>
      <c r="N1174" s="415"/>
      <c r="O1174" s="415"/>
    </row>
    <row r="1175" customFormat="1" ht="20" hidden="1" customHeight="1" spans="1:17">
      <c r="A1175" s="440">
        <v>2240599</v>
      </c>
      <c r="B1175" s="239" t="s">
        <v>1056</v>
      </c>
      <c r="C1175" s="464">
        <v>0</v>
      </c>
      <c r="D1175" s="461"/>
      <c r="E1175" s="464">
        <v>0</v>
      </c>
      <c r="F1175" s="457"/>
      <c r="G1175" s="458">
        <f t="shared" si="77"/>
        <v>0</v>
      </c>
      <c r="H1175" s="457"/>
      <c r="I1175" s="461"/>
      <c r="J1175" s="459">
        <f t="shared" si="76"/>
        <v>0</v>
      </c>
      <c r="K1175" s="460"/>
      <c r="M1175">
        <f t="shared" si="74"/>
        <v>0</v>
      </c>
      <c r="N1175" s="415"/>
      <c r="O1175" s="415"/>
    </row>
    <row r="1176" customFormat="1" ht="20" hidden="1" customHeight="1" spans="1:17">
      <c r="A1176" s="437">
        <v>22406</v>
      </c>
      <c r="B1176" s="427" t="s">
        <v>1057</v>
      </c>
      <c r="C1176" s="470">
        <f>SUM(C1177:C1179)</f>
        <v>73.408622</v>
      </c>
      <c r="D1176" s="470">
        <f>SUM(D1177:D1179)</f>
        <v>22</v>
      </c>
      <c r="E1176" s="470">
        <f>SUM(E1177:E1179)</f>
        <v>86</v>
      </c>
      <c r="F1176" s="457">
        <f>E1176/D1176*100</f>
        <v>390.909090909091</v>
      </c>
      <c r="G1176" s="458">
        <f t="shared" si="77"/>
        <v>12.591378</v>
      </c>
      <c r="H1176" s="457">
        <f>G1176/C1176*100</f>
        <v>17.1524511112605</v>
      </c>
      <c r="I1176" s="470">
        <f>SUM(I1177:I1179)</f>
        <v>118.13</v>
      </c>
      <c r="J1176" s="459">
        <f t="shared" si="76"/>
        <v>96.13</v>
      </c>
      <c r="K1176" s="460">
        <f>J1176/D1176*100</f>
        <v>436.954545454545</v>
      </c>
      <c r="M1176">
        <f t="shared" si="74"/>
        <v>0</v>
      </c>
      <c r="N1176" s="415"/>
      <c r="O1176" s="415"/>
    </row>
    <row r="1177" customFormat="1" ht="20" hidden="1" customHeight="1" spans="1:17">
      <c r="A1177" s="440">
        <v>2240601</v>
      </c>
      <c r="B1177" s="239" t="s">
        <v>1058</v>
      </c>
      <c r="C1177" s="464">
        <v>73.408622</v>
      </c>
      <c r="D1177" s="461">
        <v>22</v>
      </c>
      <c r="E1177" s="464">
        <v>86</v>
      </c>
      <c r="F1177" s="457">
        <f>E1177/D1177*100</f>
        <v>390.909090909091</v>
      </c>
      <c r="G1177" s="458">
        <f t="shared" si="77"/>
        <v>12.591378</v>
      </c>
      <c r="H1177" s="457">
        <f>G1177/C1177*100</f>
        <v>17.1524511112605</v>
      </c>
      <c r="I1177" s="461">
        <v>118.13</v>
      </c>
      <c r="J1177" s="459">
        <f t="shared" si="76"/>
        <v>96.13</v>
      </c>
      <c r="K1177" s="460">
        <f>J1177/D1177*100</f>
        <v>436.954545454545</v>
      </c>
      <c r="M1177">
        <f t="shared" si="74"/>
        <v>0</v>
      </c>
      <c r="N1177" s="415"/>
      <c r="O1177" s="415"/>
      <c r="P1177">
        <v>54</v>
      </c>
      <c r="Q1177">
        <v>103</v>
      </c>
    </row>
    <row r="1178" customFormat="1" ht="20" hidden="1" customHeight="1" spans="1:17">
      <c r="A1178" s="440">
        <v>2240602</v>
      </c>
      <c r="B1178" s="239" t="s">
        <v>1059</v>
      </c>
      <c r="C1178" s="464">
        <v>0</v>
      </c>
      <c r="D1178" s="461"/>
      <c r="E1178" s="464">
        <v>0</v>
      </c>
      <c r="F1178" s="457"/>
      <c r="G1178" s="458">
        <f t="shared" si="77"/>
        <v>0</v>
      </c>
      <c r="H1178" s="457"/>
      <c r="I1178" s="461"/>
      <c r="J1178" s="459">
        <f t="shared" si="76"/>
        <v>0</v>
      </c>
      <c r="K1178" s="460"/>
      <c r="M1178">
        <f t="shared" si="74"/>
        <v>0</v>
      </c>
      <c r="N1178" s="415"/>
      <c r="O1178" s="415"/>
    </row>
    <row r="1179" customFormat="1" ht="20" hidden="1" customHeight="1" spans="1:17">
      <c r="A1179" s="440">
        <v>2240699</v>
      </c>
      <c r="B1179" s="239" t="s">
        <v>1060</v>
      </c>
      <c r="C1179" s="464">
        <v>0</v>
      </c>
      <c r="D1179" s="461"/>
      <c r="E1179" s="464">
        <v>0</v>
      </c>
      <c r="F1179" s="457"/>
      <c r="G1179" s="458">
        <f t="shared" si="77"/>
        <v>0</v>
      </c>
      <c r="H1179" s="457"/>
      <c r="I1179" s="461"/>
      <c r="J1179" s="459">
        <f t="shared" si="76"/>
        <v>0</v>
      </c>
      <c r="K1179" s="460"/>
      <c r="M1179">
        <f t="shared" si="74"/>
        <v>0</v>
      </c>
      <c r="N1179" s="415"/>
      <c r="O1179" s="415"/>
    </row>
    <row r="1180" customFormat="1" ht="20" hidden="1" customHeight="1" spans="1:17">
      <c r="A1180" s="437">
        <v>22407</v>
      </c>
      <c r="B1180" s="427" t="s">
        <v>1061</v>
      </c>
      <c r="C1180" s="461">
        <f>SUM(C1181:C1183)</f>
        <v>277.4879</v>
      </c>
      <c r="D1180" s="461">
        <f>SUM(D1181:D1183)</f>
        <v>0</v>
      </c>
      <c r="E1180" s="461">
        <f>SUM(E1181:E1183)</f>
        <v>55</v>
      </c>
      <c r="F1180" s="457"/>
      <c r="G1180" s="458">
        <f t="shared" si="77"/>
        <v>-222.4879</v>
      </c>
      <c r="H1180" s="457">
        <f>G1180/C1180*100</f>
        <v>-80.1793159269287</v>
      </c>
      <c r="I1180" s="461">
        <f>SUM(I1181:I1183)</f>
        <v>9.21</v>
      </c>
      <c r="J1180" s="459">
        <f t="shared" si="76"/>
        <v>9.21</v>
      </c>
      <c r="K1180" s="460"/>
      <c r="M1180">
        <f t="shared" si="74"/>
        <v>0</v>
      </c>
      <c r="N1180" s="415"/>
      <c r="O1180" s="415"/>
    </row>
    <row r="1181" customFormat="1" ht="20" hidden="1" customHeight="1" spans="1:17">
      <c r="A1181" s="440">
        <v>2240703</v>
      </c>
      <c r="B1181" s="239" t="s">
        <v>1062</v>
      </c>
      <c r="C1181" s="464">
        <v>11.73</v>
      </c>
      <c r="D1181" s="461"/>
      <c r="E1181" s="464">
        <v>55</v>
      </c>
      <c r="F1181" s="457"/>
      <c r="G1181" s="458">
        <f t="shared" si="77"/>
        <v>43.27</v>
      </c>
      <c r="H1181" s="457">
        <f>G1181/C1181*100</f>
        <v>368.883205456095</v>
      </c>
      <c r="I1181" s="461">
        <v>9.21</v>
      </c>
      <c r="J1181" s="459">
        <f t="shared" si="76"/>
        <v>9.21</v>
      </c>
      <c r="K1181" s="460"/>
      <c r="M1181">
        <f t="shared" si="74"/>
        <v>0</v>
      </c>
      <c r="N1181" s="415"/>
      <c r="O1181" s="415"/>
      <c r="Q1181">
        <v>14</v>
      </c>
    </row>
    <row r="1182" customFormat="1" ht="20" hidden="1" customHeight="1" spans="1:17">
      <c r="A1182" s="440">
        <v>2240704</v>
      </c>
      <c r="B1182" s="239" t="s">
        <v>1063</v>
      </c>
      <c r="C1182" s="464">
        <v>0</v>
      </c>
      <c r="D1182" s="461"/>
      <c r="E1182" s="464">
        <v>0</v>
      </c>
      <c r="F1182" s="457"/>
      <c r="G1182" s="458">
        <f t="shared" si="77"/>
        <v>0</v>
      </c>
      <c r="H1182" s="457"/>
      <c r="I1182" s="461"/>
      <c r="J1182" s="459">
        <f t="shared" si="76"/>
        <v>0</v>
      </c>
      <c r="K1182" s="460"/>
      <c r="M1182">
        <f t="shared" si="74"/>
        <v>0</v>
      </c>
      <c r="N1182" s="415"/>
      <c r="O1182" s="415"/>
    </row>
    <row r="1183" customFormat="1" ht="20" hidden="1" customHeight="1" spans="1:17">
      <c r="A1183" s="440">
        <v>2240799</v>
      </c>
      <c r="B1183" s="239" t="s">
        <v>1064</v>
      </c>
      <c r="C1183" s="464">
        <v>265.7579</v>
      </c>
      <c r="D1183" s="461"/>
      <c r="E1183" s="464"/>
      <c r="F1183" s="457"/>
      <c r="G1183" s="458">
        <f t="shared" si="77"/>
        <v>-265.7579</v>
      </c>
      <c r="H1183" s="457">
        <f>G1183/C1183*100</f>
        <v>-100</v>
      </c>
      <c r="I1183" s="461"/>
      <c r="J1183" s="459">
        <f t="shared" si="76"/>
        <v>0</v>
      </c>
      <c r="K1183" s="460"/>
      <c r="M1183">
        <f t="shared" si="74"/>
        <v>0</v>
      </c>
      <c r="N1183" s="415"/>
      <c r="O1183" s="415"/>
    </row>
    <row r="1184" customFormat="1" ht="20" hidden="1" customHeight="1" spans="1:17">
      <c r="A1184" s="437">
        <v>22499</v>
      </c>
      <c r="B1184" s="427" t="s">
        <v>1065</v>
      </c>
      <c r="C1184" s="461">
        <v>1907</v>
      </c>
      <c r="D1184" s="461">
        <v>340.52</v>
      </c>
      <c r="E1184" s="461">
        <v>185</v>
      </c>
      <c r="F1184" s="457">
        <f>E1184/D1184*100</f>
        <v>54.3286737930224</v>
      </c>
      <c r="G1184" s="458">
        <f t="shared" si="77"/>
        <v>-1722</v>
      </c>
      <c r="H1184" s="457">
        <f>G1184/C1184*100</f>
        <v>-90.2988987939171</v>
      </c>
      <c r="I1184" s="461">
        <v>7</v>
      </c>
      <c r="J1184" s="459">
        <f t="shared" si="76"/>
        <v>-333.52</v>
      </c>
      <c r="K1184" s="460">
        <f>J1184/D1184*100</f>
        <v>-97.9443204510748</v>
      </c>
      <c r="M1184">
        <f t="shared" si="74"/>
        <v>0</v>
      </c>
      <c r="N1184" s="415"/>
      <c r="O1184" s="415"/>
      <c r="Q1184">
        <v>2162</v>
      </c>
    </row>
    <row r="1185" s="278" customFormat="1" ht="20" customHeight="1" spans="1:17">
      <c r="A1185" s="412">
        <v>227</v>
      </c>
      <c r="B1185" s="413" t="s">
        <v>1066</v>
      </c>
      <c r="C1185" s="307">
        <v>0</v>
      </c>
      <c r="D1185" s="307">
        <v>1690</v>
      </c>
      <c r="E1185" s="307">
        <v>0</v>
      </c>
      <c r="F1185" s="414">
        <f>E1185/D1185*100</f>
        <v>0</v>
      </c>
      <c r="G1185" s="346">
        <f t="shared" si="77"/>
        <v>0</v>
      </c>
      <c r="H1185" s="414"/>
      <c r="I1185" s="307">
        <v>1850</v>
      </c>
      <c r="J1185" s="307">
        <f t="shared" si="76"/>
        <v>160</v>
      </c>
      <c r="K1185" s="306">
        <f>J1185/D1185*100</f>
        <v>9.46745562130178</v>
      </c>
      <c r="M1185" s="278">
        <f t="shared" si="74"/>
        <v>1471</v>
      </c>
      <c r="N1185" s="415"/>
      <c r="O1185" s="415">
        <v>1471</v>
      </c>
    </row>
    <row r="1186" s="278" customFormat="1" ht="20" customHeight="1" spans="1:17">
      <c r="A1186" s="412">
        <v>229</v>
      </c>
      <c r="B1186" s="413" t="s">
        <v>1067</v>
      </c>
      <c r="C1186" s="371">
        <f>SUM(C1187:C1188)</f>
        <v>1759.8625</v>
      </c>
      <c r="D1186" s="371">
        <f>SUM(D1187:D1188)</f>
        <v>3600</v>
      </c>
      <c r="E1186" s="371">
        <f>SUM(E1187:E1188)</f>
        <v>18664</v>
      </c>
      <c r="F1186" s="414">
        <f>E1186/D1186*100</f>
        <v>518.444444444444</v>
      </c>
      <c r="G1186" s="346">
        <f t="shared" si="77"/>
        <v>16904.1375</v>
      </c>
      <c r="H1186" s="414">
        <f>G1186/C1186*100</f>
        <v>960.537399938916</v>
      </c>
      <c r="I1186" s="371">
        <f>SUM(I1187:I1188)</f>
        <v>9520</v>
      </c>
      <c r="J1186" s="307">
        <f t="shared" si="76"/>
        <v>5920</v>
      </c>
      <c r="K1186" s="306">
        <f>J1186/D1186*100</f>
        <v>164.444444444444</v>
      </c>
      <c r="M1186" s="278">
        <f t="shared" si="74"/>
        <v>0</v>
      </c>
      <c r="N1186" s="415"/>
      <c r="O1186" s="415"/>
    </row>
    <row r="1187" customFormat="1" ht="20" hidden="1" customHeight="1" spans="1:17">
      <c r="A1187" s="440">
        <v>22902</v>
      </c>
      <c r="B1187" s="239" t="s">
        <v>1068</v>
      </c>
      <c r="C1187" s="461">
        <v>0</v>
      </c>
      <c r="D1187" s="461"/>
      <c r="E1187" s="461">
        <v>0</v>
      </c>
      <c r="F1187" s="457"/>
      <c r="G1187" s="458">
        <f t="shared" si="77"/>
        <v>0</v>
      </c>
      <c r="H1187" s="457"/>
      <c r="I1187" s="461"/>
      <c r="J1187" s="459">
        <f t="shared" si="76"/>
        <v>0</v>
      </c>
      <c r="K1187" s="460"/>
      <c r="M1187">
        <f t="shared" si="74"/>
        <v>0</v>
      </c>
      <c r="N1187" s="415"/>
      <c r="O1187" s="415"/>
    </row>
    <row r="1188" s="278" customFormat="1" ht="20" hidden="1" customHeight="1" spans="1:17">
      <c r="A1188" s="438">
        <v>22999</v>
      </c>
      <c r="B1188" s="422" t="s">
        <v>1069</v>
      </c>
      <c r="C1188" s="461">
        <v>1759.8625</v>
      </c>
      <c r="D1188" s="461">
        <f>100+200+3300</f>
        <v>3600</v>
      </c>
      <c r="E1188" s="461">
        <v>18664</v>
      </c>
      <c r="F1188" s="457">
        <f>E1188/D1188*100</f>
        <v>518.444444444444</v>
      </c>
      <c r="G1188" s="458">
        <f t="shared" si="77"/>
        <v>16904.1375</v>
      </c>
      <c r="H1188" s="457">
        <f>G1188/C1188*100</f>
        <v>960.537399938916</v>
      </c>
      <c r="I1188" s="461">
        <f>30+449+9041</f>
        <v>9520</v>
      </c>
      <c r="J1188" s="459">
        <f t="shared" si="76"/>
        <v>5920</v>
      </c>
      <c r="K1188" s="460">
        <f>J1188/D1188*100</f>
        <v>164.444444444444</v>
      </c>
      <c r="M1188">
        <f t="shared" si="74"/>
        <v>592</v>
      </c>
      <c r="N1188" s="415"/>
      <c r="O1188" s="415">
        <v>592</v>
      </c>
      <c r="P1188"/>
      <c r="Q1188"/>
    </row>
    <row r="1189" s="278" customFormat="1" ht="20" customHeight="1" spans="1:17">
      <c r="A1189" s="412">
        <v>231</v>
      </c>
      <c r="B1189" s="413" t="s">
        <v>1070</v>
      </c>
      <c r="C1189" s="343">
        <f>SUM(C1190:C1193)</f>
        <v>0</v>
      </c>
      <c r="D1189" s="343">
        <f>SUM(D1190:D1193)</f>
        <v>1150</v>
      </c>
      <c r="E1189" s="343">
        <f>SUM(E1190:E1193)</f>
        <v>0</v>
      </c>
      <c r="F1189" s="414">
        <f>E1189/D1189*100</f>
        <v>0</v>
      </c>
      <c r="G1189" s="346">
        <f t="shared" si="77"/>
        <v>0</v>
      </c>
      <c r="H1189" s="414"/>
      <c r="I1189" s="343">
        <f>SUM(I1190:I1193)</f>
        <v>677.97</v>
      </c>
      <c r="J1189" s="307">
        <f t="shared" si="76"/>
        <v>-472.03</v>
      </c>
      <c r="K1189" s="306">
        <f>J1189/D1189*100</f>
        <v>-41.0460869565217</v>
      </c>
      <c r="M1189" s="278">
        <f t="shared" si="74"/>
        <v>0</v>
      </c>
      <c r="N1189" s="415"/>
      <c r="O1189" s="415"/>
    </row>
    <row r="1190" customFormat="1" ht="20" hidden="1" customHeight="1" spans="1:17">
      <c r="A1190" s="438"/>
      <c r="B1190" s="422" t="s">
        <v>1071</v>
      </c>
      <c r="C1190" s="461">
        <v>0</v>
      </c>
      <c r="D1190" s="461">
        <v>1150</v>
      </c>
      <c r="E1190" s="461">
        <v>0</v>
      </c>
      <c r="F1190" s="457">
        <f>E1190/D1190*100</f>
        <v>0</v>
      </c>
      <c r="G1190" s="458">
        <f t="shared" si="77"/>
        <v>0</v>
      </c>
      <c r="H1190" s="457"/>
      <c r="I1190" s="461">
        <v>677.97</v>
      </c>
      <c r="J1190" s="459">
        <f t="shared" si="76"/>
        <v>-472.03</v>
      </c>
      <c r="K1190" s="460">
        <f>J1190/D1190*100</f>
        <v>-41.0460869565217</v>
      </c>
      <c r="M1190">
        <f t="shared" si="74"/>
        <v>1000</v>
      </c>
      <c r="N1190" s="415"/>
      <c r="O1190" s="415">
        <v>1000</v>
      </c>
    </row>
    <row r="1191" customFormat="1" ht="20" hidden="1" customHeight="1" spans="1:17">
      <c r="A1191" s="438"/>
      <c r="B1191" s="422" t="s">
        <v>1072</v>
      </c>
      <c r="C1191" s="461">
        <v>0</v>
      </c>
      <c r="D1191" s="461"/>
      <c r="E1191" s="461">
        <v>0</v>
      </c>
      <c r="F1191" s="457"/>
      <c r="G1191" s="458">
        <f t="shared" si="77"/>
        <v>0</v>
      </c>
      <c r="H1191" s="457"/>
      <c r="I1191" s="461"/>
      <c r="J1191" s="459">
        <f t="shared" si="76"/>
        <v>0</v>
      </c>
      <c r="K1191" s="460"/>
      <c r="M1191">
        <f t="shared" si="74"/>
        <v>0</v>
      </c>
      <c r="N1191" s="415"/>
      <c r="O1191" s="415"/>
    </row>
    <row r="1192" customFormat="1" ht="20" hidden="1" customHeight="1" spans="1:17">
      <c r="A1192" s="438"/>
      <c r="B1192" s="422" t="s">
        <v>1073</v>
      </c>
      <c r="C1192" s="461">
        <v>0</v>
      </c>
      <c r="D1192" s="461"/>
      <c r="E1192" s="461">
        <v>0</v>
      </c>
      <c r="F1192" s="457"/>
      <c r="G1192" s="458">
        <f t="shared" si="77"/>
        <v>0</v>
      </c>
      <c r="H1192" s="457"/>
      <c r="I1192" s="461"/>
      <c r="J1192" s="459">
        <f t="shared" si="76"/>
        <v>0</v>
      </c>
      <c r="K1192" s="460"/>
      <c r="M1192">
        <f t="shared" si="74"/>
        <v>0</v>
      </c>
      <c r="N1192" s="415"/>
      <c r="O1192" s="415"/>
    </row>
    <row r="1193" customFormat="1" ht="20" hidden="1" customHeight="1" spans="1:17">
      <c r="A1193" s="438"/>
      <c r="B1193" s="422" t="s">
        <v>1074</v>
      </c>
      <c r="C1193" s="461">
        <v>0</v>
      </c>
      <c r="D1193" s="461"/>
      <c r="E1193" s="461">
        <v>0</v>
      </c>
      <c r="F1193" s="457"/>
      <c r="G1193" s="458">
        <f t="shared" si="77"/>
        <v>0</v>
      </c>
      <c r="H1193" s="457"/>
      <c r="I1193" s="461"/>
      <c r="J1193" s="459">
        <f t="shared" si="76"/>
        <v>0</v>
      </c>
      <c r="K1193" s="460"/>
      <c r="M1193">
        <f t="shared" si="74"/>
        <v>0</v>
      </c>
      <c r="N1193" s="415"/>
      <c r="O1193" s="415"/>
    </row>
    <row r="1194" s="278" customFormat="1" ht="20" customHeight="1" spans="1:17">
      <c r="A1194" s="412">
        <v>232</v>
      </c>
      <c r="B1194" s="413" t="s">
        <v>1075</v>
      </c>
      <c r="C1194" s="343">
        <f>SUM(C1195:C1197)</f>
        <v>2944.677833</v>
      </c>
      <c r="D1194" s="343">
        <f>SUM(D1195:D1197)</f>
        <v>2532</v>
      </c>
      <c r="E1194" s="343">
        <f>SUM(E1195:E1197)</f>
        <v>3052</v>
      </c>
      <c r="F1194" s="414">
        <f>E1194/D1194*100</f>
        <v>120.537124802528</v>
      </c>
      <c r="G1194" s="346">
        <f t="shared" si="77"/>
        <v>107.322167</v>
      </c>
      <c r="H1194" s="414">
        <f>G1194/C1194*100</f>
        <v>3.64461489801284</v>
      </c>
      <c r="I1194" s="343">
        <f>SUM(I1195:I1197)</f>
        <v>2863</v>
      </c>
      <c r="J1194" s="307">
        <f t="shared" si="76"/>
        <v>331</v>
      </c>
      <c r="K1194" s="306">
        <f>J1194/D1194*100</f>
        <v>13.0726698262243</v>
      </c>
      <c r="M1194" s="278">
        <f t="shared" si="74"/>
        <v>0</v>
      </c>
      <c r="N1194" s="415"/>
      <c r="O1194" s="415"/>
    </row>
    <row r="1195" customFormat="1" ht="20" hidden="1" customHeight="1" spans="1:17">
      <c r="A1195" s="438"/>
      <c r="B1195" s="422" t="s">
        <v>1076</v>
      </c>
      <c r="C1195" s="461">
        <v>2944.677833</v>
      </c>
      <c r="D1195" s="461">
        <v>2532</v>
      </c>
      <c r="E1195" s="461">
        <v>3052</v>
      </c>
      <c r="F1195" s="457">
        <f>E1195/D1195*100</f>
        <v>120.537124802528</v>
      </c>
      <c r="G1195" s="458">
        <f t="shared" si="77"/>
        <v>107.322167</v>
      </c>
      <c r="H1195" s="457">
        <f>G1195/C1195*100</f>
        <v>3.64461489801284</v>
      </c>
      <c r="I1195" s="461">
        <f>2863</f>
        <v>2863</v>
      </c>
      <c r="J1195" s="459">
        <f t="shared" si="76"/>
        <v>331</v>
      </c>
      <c r="K1195" s="460">
        <f>J1195/D1195*100</f>
        <v>13.0726698262243</v>
      </c>
      <c r="M1195">
        <f t="shared" si="74"/>
        <v>2847</v>
      </c>
      <c r="N1195" s="415"/>
      <c r="O1195" s="415">
        <v>2847</v>
      </c>
    </row>
    <row r="1196" customFormat="1" ht="20" hidden="1" customHeight="1" spans="1:17">
      <c r="A1196" s="438"/>
      <c r="B1196" s="422" t="s">
        <v>1077</v>
      </c>
      <c r="C1196" s="461">
        <v>0</v>
      </c>
      <c r="D1196" s="461"/>
      <c r="E1196" s="461">
        <v>0</v>
      </c>
      <c r="F1196" s="457"/>
      <c r="G1196" s="458">
        <f t="shared" si="77"/>
        <v>0</v>
      </c>
      <c r="H1196" s="457"/>
      <c r="I1196" s="461"/>
      <c r="J1196" s="459">
        <f t="shared" si="76"/>
        <v>0</v>
      </c>
      <c r="K1196" s="460"/>
      <c r="M1196">
        <f t="shared" si="74"/>
        <v>0</v>
      </c>
      <c r="N1196" s="415"/>
      <c r="O1196" s="415"/>
    </row>
    <row r="1197" customFormat="1" ht="20" hidden="1" customHeight="1" spans="1:17">
      <c r="A1197" s="438"/>
      <c r="B1197" s="422" t="s">
        <v>1078</v>
      </c>
      <c r="C1197" s="461">
        <v>0</v>
      </c>
      <c r="D1197" s="461"/>
      <c r="E1197" s="461">
        <v>0</v>
      </c>
      <c r="F1197" s="457"/>
      <c r="G1197" s="458">
        <f t="shared" si="77"/>
        <v>0</v>
      </c>
      <c r="H1197" s="457"/>
      <c r="I1197" s="461"/>
      <c r="J1197" s="459">
        <f t="shared" si="76"/>
        <v>0</v>
      </c>
      <c r="K1197" s="460"/>
      <c r="M1197">
        <f t="shared" si="74"/>
        <v>0</v>
      </c>
      <c r="N1197" s="415"/>
      <c r="O1197" s="415"/>
    </row>
    <row r="1198" s="278" customFormat="1" ht="20" customHeight="1" spans="1:17">
      <c r="A1198" s="412">
        <v>233</v>
      </c>
      <c r="B1198" s="413" t="s">
        <v>1079</v>
      </c>
      <c r="C1198" s="346">
        <v>14.347295</v>
      </c>
      <c r="D1198" s="346">
        <v>0</v>
      </c>
      <c r="E1198" s="346">
        <v>9</v>
      </c>
      <c r="F1198" s="414"/>
      <c r="G1198" s="346">
        <f t="shared" si="77"/>
        <v>-5.347295</v>
      </c>
      <c r="H1198" s="414">
        <f t="shared" ref="H1198:H1204" si="78">G1198/C1198*100</f>
        <v>-37.270405327276</v>
      </c>
      <c r="I1198" s="346">
        <v>0</v>
      </c>
      <c r="J1198" s="307">
        <f t="shared" si="76"/>
        <v>0</v>
      </c>
      <c r="K1198" s="306"/>
      <c r="M1198" s="278">
        <f t="shared" si="74"/>
        <v>0</v>
      </c>
      <c r="N1198" s="415"/>
      <c r="O1198" s="415"/>
    </row>
    <row r="1199" customFormat="1" ht="20" hidden="1" customHeight="1" spans="1:17">
      <c r="A1199" s="443"/>
      <c r="B1199" s="422" t="s">
        <v>1080</v>
      </c>
      <c r="C1199" s="461">
        <v>14.347295</v>
      </c>
      <c r="D1199" s="461">
        <v>0</v>
      </c>
      <c r="E1199" s="461">
        <v>9</v>
      </c>
      <c r="F1199" s="457"/>
      <c r="G1199" s="458">
        <f t="shared" si="77"/>
        <v>-5.347295</v>
      </c>
      <c r="H1199" s="457">
        <f t="shared" si="78"/>
        <v>-37.270405327276</v>
      </c>
      <c r="I1199" s="461">
        <v>0</v>
      </c>
      <c r="J1199" s="459">
        <f t="shared" si="76"/>
        <v>0</v>
      </c>
      <c r="K1199" s="460"/>
      <c r="M1199">
        <f t="shared" si="74"/>
        <v>1</v>
      </c>
      <c r="N1199" s="415"/>
      <c r="O1199" s="415">
        <v>1</v>
      </c>
    </row>
    <row r="1200" s="277" customFormat="1" ht="20" customHeight="1" spans="1:17">
      <c r="A1200" s="444"/>
      <c r="B1200" s="445" t="s">
        <v>1081</v>
      </c>
      <c r="C1200" s="446">
        <f>C6+C248+C257+C344+C395+C447+C504+C628+C705+C769+C788+C895+C952+C1014+C1034+C1038+C1072+C1094+C1136+C1185+C1186+C1189+C1194+C1198</f>
        <v>277389.558944</v>
      </c>
      <c r="D1200" s="446">
        <f>D6+D248+D257+D344+D395+D447+D504+D628+D705+D769+D788+D895+D952+D1014+D1034+D1038+D1072+D1094+D1136+D1185+D1186+D1189+D1194+D1198</f>
        <v>235486.63636</v>
      </c>
      <c r="E1200" s="446">
        <f>E6+E248+E257+E344+E395+E447+E504+E628+E705+E769+E788+E895+E952+E1014+E1034+E1038+E1072+E1094+E1136+E1185+E1186+E1189+E1194+E1198</f>
        <v>291525.132668</v>
      </c>
      <c r="F1200" s="447">
        <f>E1200/D1200*100</f>
        <v>123.796890207532</v>
      </c>
      <c r="G1200" s="448">
        <f t="shared" si="77"/>
        <v>14135.573724</v>
      </c>
      <c r="H1200" s="447">
        <f t="shared" si="78"/>
        <v>5.0959285482168</v>
      </c>
      <c r="I1200" s="446">
        <f>I6+I248+I257+I344+I395+I447+I504+I628+I705+I769+I788+I895+I952+I1014+I1034+I1038+I1072+I1094+I1136+I1185+I1186+I1189+I1194+I1198</f>
        <v>267653.114328</v>
      </c>
      <c r="J1200" s="302">
        <f t="shared" si="76"/>
        <v>32166.4779679999</v>
      </c>
      <c r="K1200" s="301">
        <f>J1200/D1200*100</f>
        <v>13.6595768087771</v>
      </c>
      <c r="M1200" s="277">
        <f t="shared" si="74"/>
        <v>0</v>
      </c>
      <c r="N1200" s="449"/>
      <c r="O1200" s="449"/>
    </row>
    <row r="1201" s="277" customFormat="1" ht="20" customHeight="1" spans="1:15">
      <c r="A1201" s="450"/>
      <c r="B1201" s="451" t="s">
        <v>1082</v>
      </c>
      <c r="C1201" s="311">
        <f>C1202+C1209+C1212</f>
        <v>30676</v>
      </c>
      <c r="D1201" s="311">
        <f>D1202+D1205+D1208+D1209+D1210+D1211+D1212</f>
        <v>4263</v>
      </c>
      <c r="E1201" s="311">
        <f>E1202+E1209+E1212</f>
        <v>33450</v>
      </c>
      <c r="F1201" s="447">
        <f>E1201/D1201*100</f>
        <v>784.658691062632</v>
      </c>
      <c r="G1201" s="448">
        <f t="shared" si="77"/>
        <v>2774</v>
      </c>
      <c r="H1201" s="447">
        <f t="shared" si="78"/>
        <v>9.04289998696049</v>
      </c>
      <c r="I1201" s="311">
        <f>I1202+I1205+I1208+I1209+I1210+I1211+I1212</f>
        <v>5475</v>
      </c>
      <c r="J1201" s="302">
        <f t="shared" si="76"/>
        <v>1212</v>
      </c>
      <c r="K1201" s="301">
        <f>J1201/D1201*100</f>
        <v>28.4306826178747</v>
      </c>
      <c r="M1201" s="277">
        <f t="shared" si="74"/>
        <v>0</v>
      </c>
      <c r="N1201" s="449"/>
      <c r="O1201" s="449"/>
    </row>
    <row r="1202" customFormat="1" ht="20" hidden="1" customHeight="1" spans="1:15">
      <c r="A1202" s="452"/>
      <c r="B1202" s="324" t="s">
        <v>1083</v>
      </c>
      <c r="C1202" s="467">
        <v>5538</v>
      </c>
      <c r="D1202" s="467">
        <v>4263</v>
      </c>
      <c r="E1202" s="467">
        <f>E1203+E1204</f>
        <v>5475</v>
      </c>
      <c r="F1202" s="457">
        <f>E1202/D1202*100</f>
        <v>128.430682617875</v>
      </c>
      <c r="G1202" s="458">
        <f t="shared" si="77"/>
        <v>-63</v>
      </c>
      <c r="H1202" s="457">
        <f t="shared" si="78"/>
        <v>-1.13759479956663</v>
      </c>
      <c r="I1202" s="467">
        <f>I1203+I1204</f>
        <v>5475</v>
      </c>
      <c r="J1202" s="459">
        <f t="shared" si="76"/>
        <v>1212</v>
      </c>
      <c r="K1202" s="460">
        <f>J1202/D1202*100</f>
        <v>28.4306826178747</v>
      </c>
      <c r="M1202">
        <f t="shared" si="74"/>
        <v>0</v>
      </c>
      <c r="N1202" s="415"/>
      <c r="O1202" s="415"/>
    </row>
    <row r="1203" customFormat="1" ht="20" hidden="1" customHeight="1" spans="1:15">
      <c r="A1203" s="452"/>
      <c r="B1203" s="324" t="s">
        <v>1084</v>
      </c>
      <c r="C1203" s="461">
        <v>250</v>
      </c>
      <c r="D1203" s="461">
        <v>2639</v>
      </c>
      <c r="E1203" s="461">
        <v>280</v>
      </c>
      <c r="F1203" s="457">
        <f>E1203/D1203*100</f>
        <v>10.6100795755968</v>
      </c>
      <c r="G1203" s="458">
        <f t="shared" si="77"/>
        <v>30</v>
      </c>
      <c r="H1203" s="457">
        <f t="shared" si="78"/>
        <v>12</v>
      </c>
      <c r="I1203" s="461">
        <v>245</v>
      </c>
      <c r="J1203" s="459">
        <f t="shared" si="76"/>
        <v>-2394</v>
      </c>
      <c r="K1203" s="460">
        <f>J1203/D1203*100</f>
        <v>-90.7161803713528</v>
      </c>
      <c r="M1203">
        <f t="shared" si="74"/>
        <v>0</v>
      </c>
      <c r="N1203" s="415"/>
      <c r="O1203" s="415"/>
    </row>
    <row r="1204" customFormat="1" ht="20" hidden="1" customHeight="1" spans="1:15">
      <c r="A1204" s="453"/>
      <c r="B1204" s="344" t="s">
        <v>1085</v>
      </c>
      <c r="C1204" s="475">
        <v>5288</v>
      </c>
      <c r="D1204" s="475">
        <v>1624</v>
      </c>
      <c r="E1204" s="475">
        <v>5195</v>
      </c>
      <c r="F1204" s="457">
        <f>E1204/D1204*100</f>
        <v>319.889162561576</v>
      </c>
      <c r="G1204" s="458">
        <f t="shared" si="77"/>
        <v>-93</v>
      </c>
      <c r="H1204" s="457">
        <f t="shared" si="78"/>
        <v>-1.75869894099849</v>
      </c>
      <c r="I1204" s="475">
        <v>5230</v>
      </c>
      <c r="J1204" s="459">
        <f t="shared" si="76"/>
        <v>3606</v>
      </c>
      <c r="K1204" s="460">
        <f>J1204/D1204*100</f>
        <v>222.044334975369</v>
      </c>
      <c r="M1204">
        <f t="shared" si="74"/>
        <v>0</v>
      </c>
      <c r="N1204" s="415"/>
      <c r="O1204" s="415"/>
    </row>
    <row r="1205" customFormat="1" ht="20" hidden="1" customHeight="1" spans="1:15">
      <c r="A1205" s="452"/>
      <c r="B1205" s="324" t="s">
        <v>1086</v>
      </c>
      <c r="C1205" s="467"/>
      <c r="D1205" s="467"/>
      <c r="E1205" s="467"/>
      <c r="F1205" s="457"/>
      <c r="G1205" s="458">
        <f t="shared" si="77"/>
        <v>0</v>
      </c>
      <c r="H1205" s="457"/>
      <c r="I1205" s="467"/>
      <c r="J1205" s="459">
        <f t="shared" si="76"/>
        <v>0</v>
      </c>
      <c r="K1205" s="460"/>
      <c r="M1205">
        <f t="shared" si="74"/>
        <v>0</v>
      </c>
      <c r="N1205" s="415"/>
      <c r="O1205" s="415"/>
    </row>
    <row r="1206" customFormat="1" ht="20" hidden="1" customHeight="1" spans="1:15">
      <c r="A1206" s="452"/>
      <c r="B1206" s="324" t="s">
        <v>1087</v>
      </c>
      <c r="C1206" s="456"/>
      <c r="D1206" s="456"/>
      <c r="E1206" s="456"/>
      <c r="F1206" s="457"/>
      <c r="G1206" s="458">
        <f t="shared" si="77"/>
        <v>0</v>
      </c>
      <c r="H1206" s="457"/>
      <c r="I1206" s="456"/>
      <c r="J1206" s="459">
        <f t="shared" si="76"/>
        <v>0</v>
      </c>
      <c r="K1206" s="460"/>
      <c r="M1206">
        <f t="shared" ref="M1206:M1215" si="79">N1206+O1206</f>
        <v>0</v>
      </c>
      <c r="N1206" s="415"/>
      <c r="O1206" s="415"/>
    </row>
    <row r="1207" customFormat="1" ht="20" hidden="1" customHeight="1" spans="1:15">
      <c r="A1207" s="452"/>
      <c r="B1207" s="324" t="s">
        <v>1088</v>
      </c>
      <c r="C1207" s="456">
        <v>0</v>
      </c>
      <c r="D1207" s="456"/>
      <c r="E1207" s="456"/>
      <c r="F1207" s="457"/>
      <c r="G1207" s="458">
        <f t="shared" si="77"/>
        <v>0</v>
      </c>
      <c r="H1207" s="457"/>
      <c r="I1207" s="456"/>
      <c r="J1207" s="459">
        <f t="shared" si="76"/>
        <v>0</v>
      </c>
      <c r="K1207" s="460"/>
      <c r="M1207">
        <f t="shared" si="79"/>
        <v>0</v>
      </c>
      <c r="N1207" s="415"/>
      <c r="O1207" s="415"/>
    </row>
    <row r="1208" customFormat="1" ht="20" hidden="1" customHeight="1" spans="1:15">
      <c r="A1208" s="453"/>
      <c r="B1208" s="329" t="s">
        <v>1089</v>
      </c>
      <c r="C1208" s="461">
        <v>0</v>
      </c>
      <c r="D1208" s="461"/>
      <c r="E1208" s="456"/>
      <c r="F1208" s="457"/>
      <c r="G1208" s="458">
        <f t="shared" si="77"/>
        <v>0</v>
      </c>
      <c r="H1208" s="457"/>
      <c r="I1208" s="461"/>
      <c r="J1208" s="459">
        <f t="shared" si="76"/>
        <v>0</v>
      </c>
      <c r="K1208" s="460"/>
      <c r="M1208">
        <f t="shared" si="79"/>
        <v>0</v>
      </c>
      <c r="N1208" s="415"/>
      <c r="O1208" s="415"/>
    </row>
    <row r="1209" customFormat="1" ht="20" hidden="1" customHeight="1" spans="1:15">
      <c r="A1209" s="453"/>
      <c r="B1209" s="329" t="s">
        <v>1090</v>
      </c>
      <c r="C1209" s="461">
        <v>9000</v>
      </c>
      <c r="D1209" s="461"/>
      <c r="E1209" s="456">
        <v>11500</v>
      </c>
      <c r="F1209" s="457"/>
      <c r="G1209" s="458">
        <f t="shared" si="77"/>
        <v>2500</v>
      </c>
      <c r="H1209" s="457">
        <f>G1209/C1209*100</f>
        <v>27.7777777777778</v>
      </c>
      <c r="I1209" s="461"/>
      <c r="J1209" s="459">
        <f t="shared" si="76"/>
        <v>0</v>
      </c>
      <c r="K1209" s="460"/>
      <c r="M1209">
        <f t="shared" si="79"/>
        <v>0</v>
      </c>
      <c r="N1209" s="415"/>
      <c r="O1209" s="415"/>
    </row>
    <row r="1210" customFormat="1" ht="20" hidden="1" customHeight="1" spans="1:15">
      <c r="A1210" s="453"/>
      <c r="B1210" s="329" t="s">
        <v>1091</v>
      </c>
      <c r="C1210" s="461">
        <v>0</v>
      </c>
      <c r="D1210" s="461"/>
      <c r="E1210" s="456"/>
      <c r="F1210" s="457"/>
      <c r="G1210" s="458">
        <f t="shared" si="77"/>
        <v>0</v>
      </c>
      <c r="H1210" s="457"/>
      <c r="I1210" s="461"/>
      <c r="J1210" s="459">
        <f t="shared" si="76"/>
        <v>0</v>
      </c>
      <c r="K1210" s="460"/>
      <c r="M1210">
        <f t="shared" si="79"/>
        <v>0</v>
      </c>
      <c r="N1210" s="415"/>
      <c r="O1210" s="415"/>
    </row>
    <row r="1211" customFormat="1" ht="20" hidden="1" customHeight="1" spans="1:15">
      <c r="A1211" s="453"/>
      <c r="B1211" s="329" t="s">
        <v>1092</v>
      </c>
      <c r="C1211" s="461">
        <v>0</v>
      </c>
      <c r="D1211" s="461"/>
      <c r="E1211" s="456"/>
      <c r="F1211" s="457"/>
      <c r="G1211" s="458">
        <f t="shared" si="77"/>
        <v>0</v>
      </c>
      <c r="H1211" s="457"/>
      <c r="I1211" s="461"/>
      <c r="J1211" s="459">
        <f t="shared" si="76"/>
        <v>0</v>
      </c>
      <c r="K1211" s="460"/>
      <c r="M1211">
        <f t="shared" si="79"/>
        <v>0</v>
      </c>
      <c r="N1211" s="415"/>
      <c r="O1211" s="415"/>
    </row>
    <row r="1212" customFormat="1" ht="20" hidden="1" customHeight="1" spans="1:15">
      <c r="A1212" s="453"/>
      <c r="B1212" s="329" t="s">
        <v>1093</v>
      </c>
      <c r="C1212" s="476">
        <v>16138</v>
      </c>
      <c r="D1212" s="476"/>
      <c r="E1212" s="465">
        <f>E1213+E1214</f>
        <v>16475</v>
      </c>
      <c r="F1212" s="457"/>
      <c r="G1212" s="458">
        <f t="shared" si="77"/>
        <v>337</v>
      </c>
      <c r="H1212" s="457">
        <f>G1212/C1212*100</f>
        <v>2.08823893914983</v>
      </c>
      <c r="I1212" s="476"/>
      <c r="J1212" s="459">
        <f t="shared" si="76"/>
        <v>0</v>
      </c>
      <c r="K1212" s="460"/>
      <c r="M1212">
        <f t="shared" si="79"/>
        <v>0</v>
      </c>
      <c r="N1212" s="415"/>
      <c r="O1212" s="415"/>
    </row>
    <row r="1213" customFormat="1" ht="20" hidden="1" customHeight="1" spans="1:15">
      <c r="A1213" s="453"/>
      <c r="B1213" s="329" t="s">
        <v>1094</v>
      </c>
      <c r="C1213" s="476">
        <v>16138</v>
      </c>
      <c r="D1213" s="461"/>
      <c r="E1213" s="456">
        <v>16475</v>
      </c>
      <c r="F1213" s="457"/>
      <c r="G1213" s="458">
        <f t="shared" si="77"/>
        <v>337</v>
      </c>
      <c r="H1213" s="457">
        <f>G1213/C1213*100</f>
        <v>2.08823893914983</v>
      </c>
      <c r="I1213" s="461"/>
      <c r="J1213" s="459">
        <f t="shared" si="76"/>
        <v>0</v>
      </c>
      <c r="K1213" s="460"/>
      <c r="M1213">
        <f t="shared" si="79"/>
        <v>0</v>
      </c>
      <c r="N1213" s="415"/>
      <c r="O1213" s="415"/>
    </row>
    <row r="1214" customFormat="1" ht="20" hidden="1" customHeight="1" spans="1:15">
      <c r="A1214" s="453"/>
      <c r="B1214" s="329" t="s">
        <v>1095</v>
      </c>
      <c r="C1214" s="476">
        <v>0</v>
      </c>
      <c r="D1214" s="476"/>
      <c r="E1214" s="476"/>
      <c r="F1214" s="457"/>
      <c r="G1214" s="458">
        <f t="shared" si="77"/>
        <v>0</v>
      </c>
      <c r="H1214" s="457"/>
      <c r="I1214" s="476"/>
      <c r="J1214" s="459">
        <f t="shared" si="76"/>
        <v>0</v>
      </c>
      <c r="K1214" s="460"/>
      <c r="M1214">
        <f t="shared" si="79"/>
        <v>0</v>
      </c>
      <c r="N1214" s="415"/>
      <c r="O1214" s="415"/>
    </row>
    <row r="1215" s="277" customFormat="1" ht="20" customHeight="1" spans="1:15">
      <c r="A1215" s="454"/>
      <c r="B1215" s="455" t="s">
        <v>1096</v>
      </c>
      <c r="C1215" s="302">
        <f>C1200+C1201</f>
        <v>308065.558944</v>
      </c>
      <c r="D1215" s="302">
        <f>D1200+D1201</f>
        <v>239749.63636</v>
      </c>
      <c r="E1215" s="302">
        <f>E1200+E1201</f>
        <v>324975.132668</v>
      </c>
      <c r="F1215" s="447">
        <f>E1215/D1215*100</f>
        <v>135.547706182973</v>
      </c>
      <c r="G1215" s="448">
        <f t="shared" si="77"/>
        <v>16909.573724</v>
      </c>
      <c r="H1215" s="447">
        <f>G1215/C1215*100</f>
        <v>5.48895299492851</v>
      </c>
      <c r="I1215" s="302">
        <f>I1200+I1201</f>
        <v>273128.114328</v>
      </c>
      <c r="J1215" s="302">
        <f t="shared" si="76"/>
        <v>33378.4779679999</v>
      </c>
      <c r="K1215" s="301">
        <f>J1215/D1215*100</f>
        <v>13.9222225629906</v>
      </c>
      <c r="M1215" s="277">
        <f t="shared" si="79"/>
        <v>0</v>
      </c>
      <c r="N1215" s="449"/>
      <c r="O1215" s="449"/>
    </row>
    <row r="1216" ht="14.25"/>
  </sheetData>
  <autoFilter xmlns:etc="http://www.wps.cn/officeDocument/2017/etCustomData" ref="A5:Q1215" etc:filterBottomFollowUsedRange="0">
    <filterColumn colId="0">
      <filters blank="1">
        <filter val="210"/>
        <filter val="211"/>
        <filter val="212"/>
        <filter val="213"/>
        <filter val="214"/>
        <filter val="215"/>
        <filter val="216"/>
        <filter val="217"/>
        <filter val="220"/>
        <filter val="221"/>
        <filter val="222"/>
        <filter val="224"/>
        <filter val="227"/>
        <filter val="229"/>
        <filter val="231"/>
        <filter val="232"/>
        <filter val="233"/>
        <filter val="201"/>
        <filter val="203"/>
        <filter val="204"/>
        <filter val="205"/>
        <filter val="206"/>
        <filter val="207"/>
        <filter val="208"/>
      </filters>
    </filterColumn>
    <extLst/>
  </autoFilter>
  <mergeCells count="13">
    <mergeCell ref="A1:K1"/>
    <mergeCell ref="J2:K2"/>
    <mergeCell ref="D3:H3"/>
    <mergeCell ref="I3:K3"/>
    <mergeCell ref="G4:H4"/>
    <mergeCell ref="J4:K4"/>
    <mergeCell ref="A3:A5"/>
    <mergeCell ref="B3:B5"/>
    <mergeCell ref="C4:C5"/>
    <mergeCell ref="D4:D5"/>
    <mergeCell ref="E4:E5"/>
    <mergeCell ref="F4:F5"/>
    <mergeCell ref="I4:I5"/>
  </mergeCells>
  <dataValidations count="1">
    <dataValidation type="decimal" operator="between" allowBlank="1" showInputMessage="1" showErrorMessage="1" sqref="E84 E143 E20:E27 E29:E30 E40:E49 E51:E60 E62:E71 E86:E87 E104:E111 E151:E155 E157:E158 E164:E169 E171:E176 E178:E183 E185:E190 E192:E198 E206:E210">
      <formula1>-99999999999999</formula1>
      <formula2>99999999999999</formula2>
    </dataValidation>
  </dataValidations>
  <pageMargins left="0.75" right="0.75" top="1" bottom="1" header="0.5" footer="0.5"/>
  <pageSetup paperSize="9" orientation="portrait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15"/>
  <sheetViews>
    <sheetView showZeros="0" zoomScale="130" zoomScaleNormal="130" zoomScaleSheetLayoutView="60" workbookViewId="0">
      <pane ySplit="5" topLeftCell="A1202" activePane="bottomLeft" state="frozen"/>
      <selection/>
      <selection pane="bottomLeft" activeCell="F1222" sqref="F1222"/>
    </sheetView>
  </sheetViews>
  <sheetFormatPr defaultColWidth="9" defaultRowHeight="15.75"/>
  <cols>
    <col min="1" max="1" width="8.1" style="381" customWidth="1"/>
    <col min="2" max="2" width="32.0583333333333" customWidth="1"/>
    <col min="3" max="3" width="10.625" style="282" customWidth="1"/>
    <col min="4" max="5" width="10.625" style="280" customWidth="1"/>
    <col min="6" max="6" width="10.625" style="281" customWidth="1"/>
    <col min="7" max="7" width="10.625" style="282" customWidth="1"/>
    <col min="8" max="8" width="10.625" style="281" customWidth="1"/>
    <col min="9" max="9" width="10.625" style="280" customWidth="1"/>
    <col min="10" max="10" width="10.625" style="282" customWidth="1"/>
    <col min="11" max="11" width="10.625" style="281" customWidth="1"/>
    <col min="12" max="12" width="9" customWidth="1"/>
    <col min="13" max="15" width="12.625" hidden="1" customWidth="1"/>
    <col min="16" max="16" width="10.375" hidden="1" customWidth="1"/>
    <col min="17" max="17" width="12.625" hidden="1" customWidth="1"/>
  </cols>
  <sheetData>
    <row r="1" customFormat="1" ht="24" spans="1:17">
      <c r="A1" s="382" t="s">
        <v>148</v>
      </c>
      <c r="B1" s="383"/>
      <c r="C1" s="384"/>
      <c r="D1" s="385"/>
      <c r="E1" s="385"/>
      <c r="F1" s="386"/>
      <c r="G1" s="384"/>
      <c r="H1" s="386"/>
      <c r="I1" s="385"/>
      <c r="J1" s="384"/>
      <c r="K1" s="386"/>
    </row>
    <row r="2" s="1" customFormat="1" spans="1:17">
      <c r="A2" s="387"/>
      <c r="B2" s="388"/>
      <c r="C2" s="385"/>
      <c r="D2" s="389"/>
      <c r="E2" s="389"/>
      <c r="F2" s="390"/>
      <c r="G2" s="384"/>
      <c r="H2" s="386"/>
      <c r="I2" s="385"/>
      <c r="J2" s="391" t="s">
        <v>26</v>
      </c>
      <c r="K2" s="392"/>
    </row>
    <row r="3" s="380" customFormat="1" ht="20" customHeight="1" spans="1:17">
      <c r="A3" s="393" t="s">
        <v>149</v>
      </c>
      <c r="B3" s="394" t="s">
        <v>150</v>
      </c>
      <c r="C3" s="395" t="s">
        <v>28</v>
      </c>
      <c r="D3" s="396" t="s">
        <v>29</v>
      </c>
      <c r="E3" s="396"/>
      <c r="F3" s="397"/>
      <c r="G3" s="398"/>
      <c r="H3" s="397"/>
      <c r="I3" s="396" t="s">
        <v>30</v>
      </c>
      <c r="J3" s="398"/>
      <c r="K3" s="397"/>
    </row>
    <row r="4" s="380" customFormat="1" ht="20" customHeight="1" spans="1:17">
      <c r="A4" s="399"/>
      <c r="B4" s="400"/>
      <c r="C4" s="401" t="s">
        <v>151</v>
      </c>
      <c r="D4" s="401" t="s">
        <v>152</v>
      </c>
      <c r="E4" s="401" t="s">
        <v>153</v>
      </c>
      <c r="F4" s="402" t="s">
        <v>154</v>
      </c>
      <c r="G4" s="403" t="s">
        <v>155</v>
      </c>
      <c r="H4" s="397"/>
      <c r="I4" s="404" t="s">
        <v>36</v>
      </c>
      <c r="J4" s="405" t="s">
        <v>156</v>
      </c>
      <c r="K4" s="406"/>
    </row>
    <row r="5" s="380" customFormat="1" ht="19" customHeight="1" spans="1:17">
      <c r="A5" s="399"/>
      <c r="B5" s="400"/>
      <c r="C5" s="407"/>
      <c r="D5" s="407"/>
      <c r="E5" s="407"/>
      <c r="F5" s="408"/>
      <c r="G5" s="403" t="s">
        <v>157</v>
      </c>
      <c r="H5" s="409" t="s">
        <v>39</v>
      </c>
      <c r="I5" s="396"/>
      <c r="J5" s="403" t="s">
        <v>157</v>
      </c>
      <c r="K5" s="409" t="s">
        <v>39</v>
      </c>
      <c r="M5" s="410" t="s">
        <v>158</v>
      </c>
      <c r="N5" s="411" t="s">
        <v>159</v>
      </c>
      <c r="O5" s="411" t="s">
        <v>160</v>
      </c>
      <c r="P5" s="410" t="s">
        <v>161</v>
      </c>
      <c r="Q5" s="410" t="s">
        <v>162</v>
      </c>
    </row>
    <row r="6" s="278" customFormat="1" ht="20" customHeight="1" spans="1:17">
      <c r="A6" s="412">
        <v>201</v>
      </c>
      <c r="B6" s="413" t="s">
        <v>163</v>
      </c>
      <c r="C6" s="346">
        <f>SUM(C7:C247)/2</f>
        <v>23939.97152</v>
      </c>
      <c r="D6" s="346">
        <f t="shared" ref="D6:I6" si="0">SUM(D7:D247)/2</f>
        <v>15707.423521</v>
      </c>
      <c r="E6" s="346">
        <f t="shared" si="0"/>
        <v>19039</v>
      </c>
      <c r="F6" s="414">
        <f t="shared" ref="F6:F9" si="1">E6/D6*100</f>
        <v>121.210203408254</v>
      </c>
      <c r="G6" s="346">
        <f t="shared" ref="G6:G69" si="2">E6-C6</f>
        <v>-4900.97152000001</v>
      </c>
      <c r="H6" s="414">
        <f t="shared" ref="H6:H9" si="3">G6/C6*100</f>
        <v>-20.4719187569026</v>
      </c>
      <c r="I6" s="346">
        <f t="shared" si="0"/>
        <v>17780.379824</v>
      </c>
      <c r="J6" s="307">
        <f t="shared" ref="J6:J69" si="4">I6-D6</f>
        <v>2072.956303</v>
      </c>
      <c r="K6" s="306">
        <f t="shared" ref="K6:K9" si="5">J6/D6*100</f>
        <v>13.1973031746968</v>
      </c>
      <c r="M6" s="278">
        <f t="shared" ref="M6:M34" si="6">N6+O6</f>
        <v>0</v>
      </c>
      <c r="N6" s="415"/>
      <c r="O6" s="415"/>
    </row>
    <row r="7" customFormat="1" ht="20" customHeight="1" spans="1:17">
      <c r="A7" s="416">
        <v>20101</v>
      </c>
      <c r="B7" s="417" t="s">
        <v>164</v>
      </c>
      <c r="C7" s="346">
        <f>SUM(C8:C18)</f>
        <v>447.740677</v>
      </c>
      <c r="D7" s="346">
        <f t="shared" ref="D7:I7" si="7">SUM(D8:D18)</f>
        <v>521.315362</v>
      </c>
      <c r="E7" s="346">
        <f t="shared" si="7"/>
        <v>354</v>
      </c>
      <c r="F7" s="414">
        <f t="shared" si="1"/>
        <v>67.9051541166746</v>
      </c>
      <c r="G7" s="346">
        <f t="shared" si="2"/>
        <v>-93.7406769999999</v>
      </c>
      <c r="H7" s="414">
        <f t="shared" si="3"/>
        <v>-20.9363771967495</v>
      </c>
      <c r="I7" s="346">
        <f t="shared" si="7"/>
        <v>573.500159</v>
      </c>
      <c r="J7" s="307">
        <f t="shared" si="4"/>
        <v>52.184797</v>
      </c>
      <c r="K7" s="306">
        <f t="shared" si="5"/>
        <v>10.0102166181706</v>
      </c>
      <c r="M7">
        <f t="shared" si="6"/>
        <v>0</v>
      </c>
      <c r="N7" s="415"/>
      <c r="O7" s="415"/>
    </row>
    <row r="8" customFormat="1" ht="20" customHeight="1" spans="1:17">
      <c r="A8" s="418">
        <v>2010101</v>
      </c>
      <c r="B8" s="419" t="s">
        <v>165</v>
      </c>
      <c r="C8" s="343">
        <v>364.812239</v>
      </c>
      <c r="D8" s="343">
        <v>366.006762</v>
      </c>
      <c r="E8" s="343">
        <v>312</v>
      </c>
      <c r="F8" s="414">
        <f t="shared" si="1"/>
        <v>85.244326715472</v>
      </c>
      <c r="G8" s="346">
        <f t="shared" si="2"/>
        <v>-52.812239</v>
      </c>
      <c r="H8" s="414">
        <f t="shared" si="3"/>
        <v>-14.4765535127784</v>
      </c>
      <c r="I8" s="420">
        <v>303.650159</v>
      </c>
      <c r="J8" s="307">
        <f t="shared" si="4"/>
        <v>-62.356603</v>
      </c>
      <c r="K8" s="306">
        <f t="shared" si="5"/>
        <v>-17.0370084583301</v>
      </c>
      <c r="M8">
        <f t="shared" si="6"/>
        <v>1169</v>
      </c>
      <c r="N8" s="415">
        <v>1169</v>
      </c>
      <c r="O8" s="415"/>
    </row>
    <row r="9" customFormat="1" ht="20" customHeight="1" spans="1:17">
      <c r="A9" s="418">
        <v>2010102</v>
      </c>
      <c r="B9" s="419" t="s">
        <v>166</v>
      </c>
      <c r="C9" s="343">
        <v>3.395513</v>
      </c>
      <c r="D9" s="343">
        <v>3.5657</v>
      </c>
      <c r="E9" s="343">
        <v>2</v>
      </c>
      <c r="F9" s="414">
        <f t="shared" si="1"/>
        <v>56.0899683091679</v>
      </c>
      <c r="G9" s="346">
        <f t="shared" si="2"/>
        <v>-1.395513</v>
      </c>
      <c r="H9" s="414">
        <f t="shared" si="3"/>
        <v>-41.0987382466213</v>
      </c>
      <c r="I9" s="343">
        <v>2.37</v>
      </c>
      <c r="J9" s="307">
        <f t="shared" si="4"/>
        <v>-1.1957</v>
      </c>
      <c r="K9" s="306">
        <f t="shared" si="5"/>
        <v>-33.533387553636</v>
      </c>
      <c r="M9">
        <f t="shared" si="6"/>
        <v>2</v>
      </c>
      <c r="N9" s="415">
        <v>2</v>
      </c>
      <c r="O9" s="415"/>
    </row>
    <row r="10" customFormat="1" ht="20" customHeight="1" spans="1:17">
      <c r="A10" s="418">
        <v>2010103</v>
      </c>
      <c r="B10" s="421" t="s">
        <v>167</v>
      </c>
      <c r="C10" s="343">
        <v>0</v>
      </c>
      <c r="D10" s="343"/>
      <c r="E10" s="343"/>
      <c r="F10" s="414"/>
      <c r="G10" s="346">
        <f t="shared" si="2"/>
        <v>0</v>
      </c>
      <c r="H10" s="414"/>
      <c r="I10" s="343"/>
      <c r="J10" s="307">
        <f t="shared" si="4"/>
        <v>0</v>
      </c>
      <c r="K10" s="306"/>
      <c r="M10">
        <f t="shared" si="6"/>
        <v>0</v>
      </c>
      <c r="N10" s="415"/>
      <c r="O10" s="415"/>
    </row>
    <row r="11" customFormat="1" ht="20" customHeight="1" spans="1:17">
      <c r="A11" s="418">
        <v>2010104</v>
      </c>
      <c r="B11" s="421" t="s">
        <v>168</v>
      </c>
      <c r="C11" s="343">
        <v>8.39554</v>
      </c>
      <c r="D11" s="343">
        <v>17.0229</v>
      </c>
      <c r="E11" s="343">
        <v>10</v>
      </c>
      <c r="F11" s="414">
        <f t="shared" ref="F11:F15" si="8">E11/D11*100</f>
        <v>58.744397253112</v>
      </c>
      <c r="G11" s="346">
        <f t="shared" si="2"/>
        <v>1.60446</v>
      </c>
      <c r="H11" s="414">
        <f>G11/C11*100</f>
        <v>19.1108612429933</v>
      </c>
      <c r="I11" s="343">
        <v>77.2</v>
      </c>
      <c r="J11" s="307">
        <f t="shared" si="4"/>
        <v>60.1771</v>
      </c>
      <c r="K11" s="306">
        <f t="shared" ref="K11:K15" si="9">J11/D11*100</f>
        <v>353.506746794025</v>
      </c>
      <c r="M11">
        <f t="shared" si="6"/>
        <v>10</v>
      </c>
      <c r="N11" s="415">
        <v>10</v>
      </c>
      <c r="O11" s="415"/>
    </row>
    <row r="12" customFormat="1" ht="20" customHeight="1" spans="1:17">
      <c r="A12" s="418">
        <v>2010105</v>
      </c>
      <c r="B12" s="421" t="s">
        <v>169</v>
      </c>
      <c r="C12" s="343">
        <v>0</v>
      </c>
      <c r="D12" s="343"/>
      <c r="E12" s="343"/>
      <c r="F12" s="414"/>
      <c r="G12" s="346">
        <f t="shared" si="2"/>
        <v>0</v>
      </c>
      <c r="H12" s="414"/>
      <c r="I12" s="343"/>
      <c r="J12" s="307">
        <f t="shared" si="4"/>
        <v>0</v>
      </c>
      <c r="K12" s="306"/>
      <c r="M12">
        <f t="shared" si="6"/>
        <v>0</v>
      </c>
      <c r="N12" s="415"/>
      <c r="O12" s="415"/>
    </row>
    <row r="13" customFormat="1" ht="20" customHeight="1" spans="1:17">
      <c r="A13" s="418">
        <v>2010106</v>
      </c>
      <c r="B13" s="422" t="s">
        <v>170</v>
      </c>
      <c r="C13" s="343">
        <v>0</v>
      </c>
      <c r="D13" s="343">
        <v>1.52</v>
      </c>
      <c r="E13" s="343"/>
      <c r="F13" s="414">
        <f t="shared" si="8"/>
        <v>0</v>
      </c>
      <c r="G13" s="346">
        <f t="shared" si="2"/>
        <v>0</v>
      </c>
      <c r="H13" s="414"/>
      <c r="I13" s="420">
        <v>5</v>
      </c>
      <c r="J13" s="307">
        <f t="shared" si="4"/>
        <v>3.48</v>
      </c>
      <c r="K13" s="306">
        <f t="shared" si="9"/>
        <v>228.947368421053</v>
      </c>
      <c r="M13">
        <f t="shared" si="6"/>
        <v>1</v>
      </c>
      <c r="N13" s="415">
        <v>1</v>
      </c>
      <c r="O13" s="415"/>
    </row>
    <row r="14" customFormat="1" ht="20" customHeight="1" spans="1:17">
      <c r="A14" s="418">
        <v>2010107</v>
      </c>
      <c r="B14" s="422" t="s">
        <v>171</v>
      </c>
      <c r="C14" s="343">
        <v>0</v>
      </c>
      <c r="D14" s="343"/>
      <c r="E14" s="343"/>
      <c r="F14" s="414"/>
      <c r="G14" s="346">
        <f t="shared" si="2"/>
        <v>0</v>
      </c>
      <c r="H14" s="414"/>
      <c r="I14" s="420">
        <v>24.48</v>
      </c>
      <c r="J14" s="307">
        <f t="shared" si="4"/>
        <v>24.48</v>
      </c>
      <c r="K14" s="306"/>
      <c r="M14">
        <f t="shared" si="6"/>
        <v>0</v>
      </c>
      <c r="N14" s="415"/>
      <c r="O14" s="415"/>
    </row>
    <row r="15" customFormat="1" ht="20" customHeight="1" spans="1:17">
      <c r="A15" s="418">
        <v>2010108</v>
      </c>
      <c r="B15" s="422" t="s">
        <v>172</v>
      </c>
      <c r="C15" s="343">
        <v>6.4871</v>
      </c>
      <c r="D15" s="343">
        <v>120.7</v>
      </c>
      <c r="E15" s="343">
        <v>11</v>
      </c>
      <c r="F15" s="414">
        <f t="shared" si="8"/>
        <v>9.11350455675228</v>
      </c>
      <c r="G15" s="346">
        <f t="shared" si="2"/>
        <v>4.5129</v>
      </c>
      <c r="H15" s="414">
        <f t="shared" ref="H15:H21" si="10">G15/C15*100</f>
        <v>69.5672950933391</v>
      </c>
      <c r="I15" s="420">
        <v>0.8</v>
      </c>
      <c r="J15" s="307">
        <f t="shared" si="4"/>
        <v>-119.9</v>
      </c>
      <c r="K15" s="306">
        <f t="shared" si="9"/>
        <v>-99.3371996685998</v>
      </c>
      <c r="M15">
        <f t="shared" si="6"/>
        <v>21</v>
      </c>
      <c r="N15" s="415">
        <v>21</v>
      </c>
      <c r="O15" s="415"/>
    </row>
    <row r="16" customFormat="1" ht="20" customHeight="1" spans="1:17">
      <c r="A16" s="418">
        <v>2010109</v>
      </c>
      <c r="B16" s="422" t="s">
        <v>173</v>
      </c>
      <c r="C16" s="343">
        <v>0</v>
      </c>
      <c r="D16" s="343"/>
      <c r="E16" s="343"/>
      <c r="F16" s="414"/>
      <c r="G16" s="346">
        <f t="shared" si="2"/>
        <v>0</v>
      </c>
      <c r="H16" s="414"/>
      <c r="I16" s="343"/>
      <c r="J16" s="307">
        <f t="shared" si="4"/>
        <v>0</v>
      </c>
      <c r="K16" s="306"/>
      <c r="M16">
        <f t="shared" si="6"/>
        <v>0</v>
      </c>
      <c r="N16" s="415"/>
      <c r="O16" s="415"/>
    </row>
    <row r="17" customFormat="1" ht="20" customHeight="1" spans="1:15">
      <c r="A17" s="418">
        <v>2010150</v>
      </c>
      <c r="B17" s="422" t="s">
        <v>174</v>
      </c>
      <c r="C17" s="343">
        <v>0</v>
      </c>
      <c r="D17" s="343"/>
      <c r="E17" s="343"/>
      <c r="F17" s="414"/>
      <c r="G17" s="346">
        <f t="shared" si="2"/>
        <v>0</v>
      </c>
      <c r="H17" s="414"/>
      <c r="I17" s="343"/>
      <c r="J17" s="307">
        <f t="shared" si="4"/>
        <v>0</v>
      </c>
      <c r="K17" s="306"/>
      <c r="M17">
        <f t="shared" si="6"/>
        <v>0</v>
      </c>
      <c r="N17" s="415"/>
      <c r="O17" s="415"/>
    </row>
    <row r="18" customFormat="1" ht="20" customHeight="1" spans="1:15">
      <c r="A18" s="418">
        <v>2010199</v>
      </c>
      <c r="B18" s="422" t="s">
        <v>175</v>
      </c>
      <c r="C18" s="343">
        <v>64.650285</v>
      </c>
      <c r="D18" s="343">
        <v>12.5</v>
      </c>
      <c r="E18" s="343">
        <v>19</v>
      </c>
      <c r="F18" s="414">
        <f t="shared" ref="F18:F21" si="11">E18/D18*100</f>
        <v>152</v>
      </c>
      <c r="G18" s="346">
        <f t="shared" si="2"/>
        <v>-45.650285</v>
      </c>
      <c r="H18" s="414">
        <f t="shared" si="10"/>
        <v>-70.6111117684941</v>
      </c>
      <c r="I18" s="343">
        <v>160</v>
      </c>
      <c r="J18" s="307">
        <f t="shared" si="4"/>
        <v>147.5</v>
      </c>
      <c r="K18" s="306">
        <f t="shared" ref="K18:K21" si="12">J18/D18*100</f>
        <v>1180</v>
      </c>
      <c r="M18">
        <f t="shared" si="6"/>
        <v>10</v>
      </c>
      <c r="N18" s="415">
        <v>10</v>
      </c>
      <c r="O18" s="415"/>
    </row>
    <row r="19" customFormat="1" ht="20" customHeight="1" spans="1:15">
      <c r="A19" s="416">
        <v>20102</v>
      </c>
      <c r="B19" s="417" t="s">
        <v>176</v>
      </c>
      <c r="C19" s="346">
        <f>SUM(C20:C27)</f>
        <v>333.156301</v>
      </c>
      <c r="D19" s="346">
        <f t="shared" ref="D19:I19" si="13">SUM(D20:D27)</f>
        <v>391.979173</v>
      </c>
      <c r="E19" s="346">
        <f t="shared" si="13"/>
        <v>333</v>
      </c>
      <c r="F19" s="414">
        <f t="shared" si="11"/>
        <v>84.9534931795981</v>
      </c>
      <c r="G19" s="346">
        <f t="shared" si="2"/>
        <v>-0.156300999999985</v>
      </c>
      <c r="H19" s="414">
        <f t="shared" si="10"/>
        <v>-0.0469152165307493</v>
      </c>
      <c r="I19" s="346">
        <f t="shared" si="13"/>
        <v>328.95606</v>
      </c>
      <c r="J19" s="307">
        <f t="shared" si="4"/>
        <v>-63.023113</v>
      </c>
      <c r="K19" s="306">
        <f t="shared" si="12"/>
        <v>-16.0781789801878</v>
      </c>
      <c r="M19">
        <f t="shared" si="6"/>
        <v>0</v>
      </c>
      <c r="N19" s="415"/>
      <c r="O19" s="415"/>
    </row>
    <row r="20" customFormat="1" ht="20" customHeight="1" spans="1:15">
      <c r="A20" s="418">
        <v>2010201</v>
      </c>
      <c r="B20" s="419" t="s">
        <v>165</v>
      </c>
      <c r="C20" s="343">
        <v>275.727281</v>
      </c>
      <c r="D20" s="343">
        <v>300.575173</v>
      </c>
      <c r="E20" s="423">
        <v>275</v>
      </c>
      <c r="F20" s="414">
        <f t="shared" si="11"/>
        <v>91.4912556666814</v>
      </c>
      <c r="G20" s="346">
        <f t="shared" si="2"/>
        <v>-0.727281000000005</v>
      </c>
      <c r="H20" s="414">
        <f t="shared" si="10"/>
        <v>-0.263768241344245</v>
      </c>
      <c r="I20" s="420">
        <v>255.61606</v>
      </c>
      <c r="J20" s="307">
        <f t="shared" si="4"/>
        <v>-44.959113</v>
      </c>
      <c r="K20" s="306">
        <f t="shared" si="12"/>
        <v>-14.9576934619281</v>
      </c>
      <c r="M20">
        <f t="shared" si="6"/>
        <v>272</v>
      </c>
      <c r="N20" s="415">
        <v>272</v>
      </c>
      <c r="O20" s="415"/>
    </row>
    <row r="21" customFormat="1" ht="20" customHeight="1" spans="1:15">
      <c r="A21" s="418">
        <v>2010202</v>
      </c>
      <c r="B21" s="419" t="s">
        <v>166</v>
      </c>
      <c r="C21" s="343">
        <v>17.42902</v>
      </c>
      <c r="D21" s="343">
        <v>14.904</v>
      </c>
      <c r="E21" s="423">
        <v>16</v>
      </c>
      <c r="F21" s="414">
        <f t="shared" si="11"/>
        <v>107.353730542136</v>
      </c>
      <c r="G21" s="346">
        <f t="shared" si="2"/>
        <v>-1.42902</v>
      </c>
      <c r="H21" s="414">
        <f t="shared" si="10"/>
        <v>-8.19908405636118</v>
      </c>
      <c r="I21" s="343">
        <v>15.34</v>
      </c>
      <c r="J21" s="307">
        <f t="shared" si="4"/>
        <v>0.436</v>
      </c>
      <c r="K21" s="306">
        <f t="shared" si="12"/>
        <v>2.92538915727321</v>
      </c>
      <c r="M21">
        <f t="shared" si="6"/>
        <v>10</v>
      </c>
      <c r="N21" s="415">
        <v>10</v>
      </c>
      <c r="O21" s="415"/>
    </row>
    <row r="22" customFormat="1" ht="20" customHeight="1" spans="1:15">
      <c r="A22" s="418">
        <v>2010203</v>
      </c>
      <c r="B22" s="421" t="s">
        <v>167</v>
      </c>
      <c r="C22" s="343">
        <v>0</v>
      </c>
      <c r="D22" s="343"/>
      <c r="E22" s="423"/>
      <c r="F22" s="414"/>
      <c r="G22" s="346">
        <f t="shared" si="2"/>
        <v>0</v>
      </c>
      <c r="H22" s="414"/>
      <c r="I22" s="343"/>
      <c r="J22" s="307">
        <f t="shared" si="4"/>
        <v>0</v>
      </c>
      <c r="K22" s="306"/>
      <c r="M22">
        <f t="shared" si="6"/>
        <v>0</v>
      </c>
      <c r="N22" s="415"/>
      <c r="O22" s="415"/>
    </row>
    <row r="23" customFormat="1" ht="20" customHeight="1" spans="1:15">
      <c r="A23" s="418">
        <v>2010204</v>
      </c>
      <c r="B23" s="421" t="s">
        <v>177</v>
      </c>
      <c r="C23" s="343">
        <v>4</v>
      </c>
      <c r="D23" s="343">
        <v>4</v>
      </c>
      <c r="E23" s="423">
        <v>1</v>
      </c>
      <c r="F23" s="414">
        <f t="shared" ref="F23:F25" si="14">E23/D23*100</f>
        <v>25</v>
      </c>
      <c r="G23" s="346">
        <f t="shared" si="2"/>
        <v>-3</v>
      </c>
      <c r="H23" s="414">
        <f t="shared" ref="H23:H25" si="15">G23/C23*100</f>
        <v>-75</v>
      </c>
      <c r="I23" s="420">
        <v>43</v>
      </c>
      <c r="J23" s="307">
        <f t="shared" si="4"/>
        <v>39</v>
      </c>
      <c r="K23" s="306">
        <f t="shared" ref="K23:K25" si="16">J23/D23*100</f>
        <v>975</v>
      </c>
      <c r="M23">
        <f t="shared" si="6"/>
        <v>4</v>
      </c>
      <c r="N23" s="415">
        <v>4</v>
      </c>
      <c r="O23" s="415"/>
    </row>
    <row r="24" customFormat="1" ht="20" customHeight="1" spans="1:15">
      <c r="A24" s="418">
        <v>2010205</v>
      </c>
      <c r="B24" s="421" t="s">
        <v>178</v>
      </c>
      <c r="C24" s="343">
        <v>0.5</v>
      </c>
      <c r="D24" s="343">
        <v>0.2</v>
      </c>
      <c r="E24" s="423"/>
      <c r="F24" s="414">
        <f t="shared" si="14"/>
        <v>0</v>
      </c>
      <c r="G24" s="346">
        <f t="shared" si="2"/>
        <v>-0.5</v>
      </c>
      <c r="H24" s="414">
        <f t="shared" si="15"/>
        <v>-100</v>
      </c>
      <c r="I24" s="343"/>
      <c r="J24" s="307">
        <f t="shared" si="4"/>
        <v>-0.2</v>
      </c>
      <c r="K24" s="306">
        <f t="shared" si="16"/>
        <v>-100</v>
      </c>
      <c r="M24">
        <f t="shared" si="6"/>
        <v>1</v>
      </c>
      <c r="N24" s="415">
        <v>1</v>
      </c>
      <c r="O24" s="415"/>
    </row>
    <row r="25" customFormat="1" ht="20" customHeight="1" spans="1:15">
      <c r="A25" s="418">
        <v>2010206</v>
      </c>
      <c r="B25" s="421" t="s">
        <v>179</v>
      </c>
      <c r="C25" s="343">
        <v>15.5</v>
      </c>
      <c r="D25" s="343">
        <v>64.3</v>
      </c>
      <c r="E25" s="423">
        <v>40</v>
      </c>
      <c r="F25" s="414">
        <f t="shared" si="14"/>
        <v>62.2083981337481</v>
      </c>
      <c r="G25" s="346">
        <f t="shared" si="2"/>
        <v>24.5</v>
      </c>
      <c r="H25" s="414">
        <f t="shared" si="15"/>
        <v>158.064516129032</v>
      </c>
      <c r="I25" s="420">
        <v>15</v>
      </c>
      <c r="J25" s="307">
        <f t="shared" si="4"/>
        <v>-49.3</v>
      </c>
      <c r="K25" s="306">
        <f t="shared" si="16"/>
        <v>-76.6718506998445</v>
      </c>
      <c r="M25">
        <f t="shared" si="6"/>
        <v>15</v>
      </c>
      <c r="N25" s="415">
        <v>15</v>
      </c>
      <c r="O25" s="415"/>
    </row>
    <row r="26" customFormat="1" ht="20" customHeight="1" spans="1:15">
      <c r="A26" s="418">
        <v>2010250</v>
      </c>
      <c r="B26" s="421" t="s">
        <v>174</v>
      </c>
      <c r="C26" s="343">
        <v>0</v>
      </c>
      <c r="D26" s="343"/>
      <c r="E26" s="423"/>
      <c r="F26" s="414"/>
      <c r="G26" s="346">
        <f t="shared" si="2"/>
        <v>0</v>
      </c>
      <c r="H26" s="414"/>
      <c r="I26" s="343"/>
      <c r="J26" s="307">
        <f t="shared" si="4"/>
        <v>0</v>
      </c>
      <c r="K26" s="306"/>
      <c r="M26">
        <f t="shared" si="6"/>
        <v>0</v>
      </c>
      <c r="N26" s="415"/>
      <c r="O26" s="415"/>
    </row>
    <row r="27" customFormat="1" ht="20" customHeight="1" spans="1:15">
      <c r="A27" s="418">
        <v>2010299</v>
      </c>
      <c r="B27" s="421" t="s">
        <v>180</v>
      </c>
      <c r="C27" s="307">
        <v>20</v>
      </c>
      <c r="D27" s="343">
        <v>8</v>
      </c>
      <c r="E27" s="423">
        <v>1</v>
      </c>
      <c r="F27" s="414">
        <f t="shared" ref="F27:F30" si="17">E27/D27*100</f>
        <v>12.5</v>
      </c>
      <c r="G27" s="346">
        <f t="shared" si="2"/>
        <v>-19</v>
      </c>
      <c r="H27" s="414">
        <f t="shared" ref="H27:H30" si="18">G27/C27*100</f>
        <v>-95</v>
      </c>
      <c r="I27" s="343"/>
      <c r="J27" s="307">
        <f t="shared" si="4"/>
        <v>-8</v>
      </c>
      <c r="K27" s="306">
        <f t="shared" ref="K27:K30" si="19">J27/D27*100</f>
        <v>-100</v>
      </c>
      <c r="M27">
        <f t="shared" si="6"/>
        <v>0</v>
      </c>
      <c r="N27" s="415"/>
      <c r="O27" s="415"/>
    </row>
    <row r="28" customFormat="1" ht="20" customHeight="1" spans="1:15">
      <c r="A28" s="416">
        <v>20103</v>
      </c>
      <c r="B28" s="417" t="s">
        <v>181</v>
      </c>
      <c r="C28" s="346">
        <f>SUM(C29:C38)</f>
        <v>9215.017558</v>
      </c>
      <c r="D28" s="346">
        <f t="shared" ref="D28:I28" si="20">SUM(D29:D38)</f>
        <v>6420.188346</v>
      </c>
      <c r="E28" s="346">
        <f t="shared" si="20"/>
        <v>8791</v>
      </c>
      <c r="F28" s="414">
        <f t="shared" si="17"/>
        <v>136.927447081472</v>
      </c>
      <c r="G28" s="346">
        <f t="shared" si="2"/>
        <v>-424.017558</v>
      </c>
      <c r="H28" s="414">
        <f t="shared" si="18"/>
        <v>-4.60137547575142</v>
      </c>
      <c r="I28" s="346">
        <f t="shared" si="20"/>
        <v>6863.08</v>
      </c>
      <c r="J28" s="307">
        <f t="shared" si="4"/>
        <v>442.891654</v>
      </c>
      <c r="K28" s="306">
        <f t="shared" si="19"/>
        <v>6.89842151244577</v>
      </c>
      <c r="M28">
        <f t="shared" si="6"/>
        <v>0</v>
      </c>
      <c r="N28" s="415"/>
      <c r="O28" s="415"/>
    </row>
    <row r="29" customFormat="1" ht="20" customHeight="1" spans="1:15">
      <c r="A29" s="418">
        <v>2010301</v>
      </c>
      <c r="B29" s="419" t="s">
        <v>165</v>
      </c>
      <c r="C29" s="307">
        <v>7900.514778</v>
      </c>
      <c r="D29" s="343">
        <v>5874.993074</v>
      </c>
      <c r="E29" s="423">
        <v>6485</v>
      </c>
      <c r="F29" s="414">
        <f t="shared" si="17"/>
        <v>110.383108853347</v>
      </c>
      <c r="G29" s="346">
        <f t="shared" si="2"/>
        <v>-1415.514778</v>
      </c>
      <c r="H29" s="414">
        <f t="shared" si="18"/>
        <v>-17.9167410956775</v>
      </c>
      <c r="I29" s="343">
        <v>5830.26</v>
      </c>
      <c r="J29" s="307">
        <f t="shared" si="4"/>
        <v>-44.7330739999998</v>
      </c>
      <c r="K29" s="306">
        <f t="shared" si="19"/>
        <v>-0.761414923159104</v>
      </c>
      <c r="M29">
        <f t="shared" si="6"/>
        <v>6244</v>
      </c>
      <c r="N29" s="415">
        <v>6244</v>
      </c>
      <c r="O29" s="415"/>
    </row>
    <row r="30" customFormat="1" ht="20" customHeight="1" spans="1:15">
      <c r="A30" s="418">
        <v>2010302</v>
      </c>
      <c r="B30" s="419" t="s">
        <v>166</v>
      </c>
      <c r="C30" s="307">
        <v>1285.632141</v>
      </c>
      <c r="D30" s="343">
        <v>545.195272</v>
      </c>
      <c r="E30" s="423">
        <v>2306</v>
      </c>
      <c r="F30" s="414">
        <f t="shared" si="17"/>
        <v>422.967717885859</v>
      </c>
      <c r="G30" s="346">
        <f t="shared" si="2"/>
        <v>1020.367859</v>
      </c>
      <c r="H30" s="414">
        <f t="shared" si="18"/>
        <v>79.3670153739568</v>
      </c>
      <c r="I30" s="343">
        <v>1032.82</v>
      </c>
      <c r="J30" s="307">
        <f t="shared" si="4"/>
        <v>487.624728</v>
      </c>
      <c r="K30" s="306">
        <f t="shared" si="19"/>
        <v>89.4403809136481</v>
      </c>
      <c r="M30">
        <f t="shared" si="6"/>
        <v>429</v>
      </c>
      <c r="N30" s="415">
        <v>429</v>
      </c>
      <c r="O30" s="415"/>
    </row>
    <row r="31" customFormat="1" ht="20" customHeight="1" spans="1:15">
      <c r="A31" s="418">
        <v>2010303</v>
      </c>
      <c r="B31" s="421" t="s">
        <v>167</v>
      </c>
      <c r="C31" s="307">
        <v>0</v>
      </c>
      <c r="D31" s="343"/>
      <c r="E31" s="307"/>
      <c r="F31" s="414"/>
      <c r="G31" s="346">
        <f t="shared" si="2"/>
        <v>0</v>
      </c>
      <c r="H31" s="414"/>
      <c r="I31" s="343"/>
      <c r="J31" s="307">
        <f t="shared" si="4"/>
        <v>0</v>
      </c>
      <c r="K31" s="306"/>
      <c r="M31">
        <f t="shared" si="6"/>
        <v>0</v>
      </c>
      <c r="N31" s="415"/>
      <c r="O31" s="415"/>
    </row>
    <row r="32" customFormat="1" ht="20" customHeight="1" spans="1:15">
      <c r="A32" s="418">
        <v>2010304</v>
      </c>
      <c r="B32" s="421" t="s">
        <v>182</v>
      </c>
      <c r="C32" s="307">
        <v>0</v>
      </c>
      <c r="D32" s="343"/>
      <c r="E32" s="307"/>
      <c r="F32" s="414"/>
      <c r="G32" s="346">
        <f t="shared" si="2"/>
        <v>0</v>
      </c>
      <c r="H32" s="414"/>
      <c r="I32" s="343"/>
      <c r="J32" s="307">
        <f t="shared" si="4"/>
        <v>0</v>
      </c>
      <c r="K32" s="306"/>
      <c r="M32">
        <f t="shared" si="6"/>
        <v>0</v>
      </c>
      <c r="N32" s="415"/>
      <c r="O32" s="415"/>
    </row>
    <row r="33" customFormat="1" ht="20" customHeight="1" spans="1:17">
      <c r="A33" s="418">
        <v>2010305</v>
      </c>
      <c r="B33" s="421" t="s">
        <v>183</v>
      </c>
      <c r="C33" s="307">
        <v>0</v>
      </c>
      <c r="D33" s="343"/>
      <c r="E33" s="307"/>
      <c r="F33" s="414"/>
      <c r="G33" s="346">
        <f t="shared" si="2"/>
        <v>0</v>
      </c>
      <c r="H33" s="414"/>
      <c r="I33" s="343"/>
      <c r="J33" s="307">
        <f t="shared" si="4"/>
        <v>0</v>
      </c>
      <c r="K33" s="306"/>
      <c r="M33">
        <f t="shared" si="6"/>
        <v>0</v>
      </c>
      <c r="N33" s="415"/>
      <c r="O33" s="415"/>
    </row>
    <row r="34" customFormat="1" ht="20" customHeight="1" spans="1:17">
      <c r="A34" s="418">
        <v>2010306</v>
      </c>
      <c r="B34" s="419" t="s">
        <v>184</v>
      </c>
      <c r="C34" s="307">
        <v>28.870639</v>
      </c>
      <c r="D34" s="343"/>
      <c r="E34" s="307"/>
      <c r="F34" s="414"/>
      <c r="G34" s="346">
        <f t="shared" si="2"/>
        <v>-28.870639</v>
      </c>
      <c r="H34" s="414">
        <f>G34/C34*100</f>
        <v>-100</v>
      </c>
      <c r="I34" s="343"/>
      <c r="J34" s="307">
        <f t="shared" si="4"/>
        <v>0</v>
      </c>
      <c r="K34" s="306"/>
      <c r="M34">
        <f t="shared" si="6"/>
        <v>13</v>
      </c>
      <c r="N34" s="415">
        <v>13</v>
      </c>
      <c r="O34" s="415"/>
    </row>
    <row r="35" customFormat="1" ht="20" customHeight="1" spans="1:17">
      <c r="A35" s="418" t="s">
        <v>185</v>
      </c>
      <c r="B35" s="419" t="s">
        <v>186</v>
      </c>
      <c r="C35" s="307">
        <v>0</v>
      </c>
      <c r="D35" s="343"/>
      <c r="E35" s="307"/>
      <c r="F35" s="414"/>
      <c r="G35" s="346">
        <f t="shared" si="2"/>
        <v>0</v>
      </c>
      <c r="H35" s="414"/>
      <c r="I35" s="343"/>
      <c r="J35" s="307">
        <f t="shared" si="4"/>
        <v>0</v>
      </c>
      <c r="K35" s="306"/>
      <c r="N35" s="415"/>
      <c r="O35" s="415"/>
    </row>
    <row r="36" customFormat="1" ht="20" customHeight="1" spans="1:17">
      <c r="A36" s="418">
        <v>2010309</v>
      </c>
      <c r="B36" s="421" t="s">
        <v>187</v>
      </c>
      <c r="C36" s="307">
        <v>0</v>
      </c>
      <c r="D36" s="343"/>
      <c r="E36" s="307"/>
      <c r="F36" s="414"/>
      <c r="G36" s="346">
        <f t="shared" si="2"/>
        <v>0</v>
      </c>
      <c r="H36" s="414"/>
      <c r="I36" s="343"/>
      <c r="J36" s="307">
        <f t="shared" si="4"/>
        <v>0</v>
      </c>
      <c r="K36" s="306"/>
      <c r="M36">
        <f t="shared" ref="M36:M99" si="21">N36+O36</f>
        <v>0</v>
      </c>
      <c r="N36" s="415"/>
      <c r="O36" s="415"/>
    </row>
    <row r="37" customFormat="1" ht="20" customHeight="1" spans="1:17">
      <c r="A37" s="418">
        <v>2010350</v>
      </c>
      <c r="B37" s="421" t="s">
        <v>174</v>
      </c>
      <c r="C37" s="307">
        <v>0</v>
      </c>
      <c r="D37" s="343"/>
      <c r="E37" s="307"/>
      <c r="F37" s="414"/>
      <c r="G37" s="346">
        <f t="shared" si="2"/>
        <v>0</v>
      </c>
      <c r="H37" s="414"/>
      <c r="I37" s="343"/>
      <c r="J37" s="307">
        <f t="shared" si="4"/>
        <v>0</v>
      </c>
      <c r="K37" s="306"/>
      <c r="M37">
        <f t="shared" si="21"/>
        <v>0</v>
      </c>
      <c r="N37" s="415"/>
      <c r="O37" s="415"/>
    </row>
    <row r="38" customFormat="1" ht="20" customHeight="1" spans="1:17">
      <c r="A38" s="418">
        <v>2010399</v>
      </c>
      <c r="B38" s="424" t="s">
        <v>188</v>
      </c>
      <c r="C38" s="307">
        <v>0</v>
      </c>
      <c r="D38" s="343"/>
      <c r="E38" s="307"/>
      <c r="F38" s="414"/>
      <c r="G38" s="346">
        <f t="shared" si="2"/>
        <v>0</v>
      </c>
      <c r="H38" s="414"/>
      <c r="I38" s="343"/>
      <c r="J38" s="307">
        <f t="shared" si="4"/>
        <v>0</v>
      </c>
      <c r="K38" s="306"/>
      <c r="M38">
        <f t="shared" si="21"/>
        <v>0</v>
      </c>
      <c r="N38" s="415"/>
      <c r="O38" s="415"/>
    </row>
    <row r="39" customFormat="1" ht="20" customHeight="1" spans="1:17">
      <c r="A39" s="416">
        <v>20104</v>
      </c>
      <c r="B39" s="417" t="s">
        <v>189</v>
      </c>
      <c r="C39" s="347">
        <f>SUM(C40:C49)</f>
        <v>4324.913039</v>
      </c>
      <c r="D39" s="347">
        <f t="shared" ref="D39:I39" si="22">SUM(D40:D49)</f>
        <v>534.41905</v>
      </c>
      <c r="E39" s="347">
        <f t="shared" si="22"/>
        <v>681</v>
      </c>
      <c r="F39" s="414">
        <f t="shared" ref="F39:F41" si="23">E39/D39*100</f>
        <v>127.428092243344</v>
      </c>
      <c r="G39" s="346">
        <f t="shared" si="2"/>
        <v>-3643.913039</v>
      </c>
      <c r="H39" s="414">
        <f t="shared" ref="H39:H41" si="24">G39/C39*100</f>
        <v>-84.2540186621311</v>
      </c>
      <c r="I39" s="347">
        <f t="shared" si="22"/>
        <v>944.778404</v>
      </c>
      <c r="J39" s="307">
        <f t="shared" si="4"/>
        <v>410.359354</v>
      </c>
      <c r="K39" s="306">
        <f t="shared" ref="K39:K41" si="25">J39/D39*100</f>
        <v>76.7860640446856</v>
      </c>
      <c r="M39">
        <f t="shared" si="21"/>
        <v>0</v>
      </c>
      <c r="N39" s="415"/>
      <c r="O39" s="415"/>
    </row>
    <row r="40" customFormat="1" ht="20" customHeight="1" spans="1:17">
      <c r="A40" s="418">
        <v>2010401</v>
      </c>
      <c r="B40" s="419" t="s">
        <v>165</v>
      </c>
      <c r="C40" s="307">
        <v>798.335742</v>
      </c>
      <c r="D40" s="425">
        <v>521</v>
      </c>
      <c r="E40" s="423">
        <v>661</v>
      </c>
      <c r="F40" s="414">
        <f t="shared" si="23"/>
        <v>126.871401151631</v>
      </c>
      <c r="G40" s="346">
        <f t="shared" si="2"/>
        <v>-137.335742</v>
      </c>
      <c r="H40" s="414">
        <f t="shared" si="24"/>
        <v>-17.2027550283475</v>
      </c>
      <c r="I40" s="420">
        <v>511.390954</v>
      </c>
      <c r="J40" s="307">
        <f t="shared" si="4"/>
        <v>-9.60904599999998</v>
      </c>
      <c r="K40" s="306">
        <f t="shared" si="25"/>
        <v>-1.84434664107485</v>
      </c>
      <c r="M40">
        <f t="shared" si="21"/>
        <v>465</v>
      </c>
      <c r="N40" s="415">
        <v>465</v>
      </c>
      <c r="O40" s="415"/>
    </row>
    <row r="41" customFormat="1" ht="20" customHeight="1" spans="1:17">
      <c r="A41" s="418">
        <v>2010402</v>
      </c>
      <c r="B41" s="419" t="s">
        <v>166</v>
      </c>
      <c r="C41" s="307">
        <v>212.792508</v>
      </c>
      <c r="D41" s="425">
        <v>6.57585</v>
      </c>
      <c r="E41" s="423">
        <v>8</v>
      </c>
      <c r="F41" s="414">
        <f t="shared" si="23"/>
        <v>121.657276245656</v>
      </c>
      <c r="G41" s="346">
        <f t="shared" si="2"/>
        <v>-204.792508</v>
      </c>
      <c r="H41" s="414">
        <f t="shared" si="24"/>
        <v>-96.2404691428328</v>
      </c>
      <c r="I41" s="420">
        <v>22.38745</v>
      </c>
      <c r="J41" s="307">
        <f t="shared" si="4"/>
        <v>15.8116</v>
      </c>
      <c r="K41" s="306">
        <f t="shared" si="25"/>
        <v>240.449523635728</v>
      </c>
      <c r="M41">
        <f t="shared" si="21"/>
        <v>7</v>
      </c>
      <c r="N41" s="415">
        <v>7</v>
      </c>
      <c r="O41" s="415"/>
    </row>
    <row r="42" customFormat="1" ht="20" customHeight="1" spans="1:17">
      <c r="A42" s="418">
        <v>2010403</v>
      </c>
      <c r="B42" s="421" t="s">
        <v>167</v>
      </c>
      <c r="C42" s="307">
        <v>0</v>
      </c>
      <c r="D42" s="343"/>
      <c r="E42" s="423"/>
      <c r="F42" s="414"/>
      <c r="G42" s="346">
        <f t="shared" si="2"/>
        <v>0</v>
      </c>
      <c r="H42" s="414"/>
      <c r="I42" s="343"/>
      <c r="J42" s="307">
        <f t="shared" si="4"/>
        <v>0</v>
      </c>
      <c r="K42" s="306"/>
      <c r="M42">
        <f t="shared" si="21"/>
        <v>0</v>
      </c>
      <c r="N42" s="415"/>
      <c r="O42" s="415"/>
    </row>
    <row r="43" customFormat="1" ht="20" customHeight="1" spans="1:17">
      <c r="A43" s="418">
        <v>2010404</v>
      </c>
      <c r="B43" s="421" t="s">
        <v>190</v>
      </c>
      <c r="C43" s="307">
        <v>0</v>
      </c>
      <c r="D43" s="343"/>
      <c r="E43" s="423"/>
      <c r="F43" s="414"/>
      <c r="G43" s="346">
        <f t="shared" si="2"/>
        <v>0</v>
      </c>
      <c r="H43" s="414"/>
      <c r="I43" s="343"/>
      <c r="J43" s="307">
        <f t="shared" si="4"/>
        <v>0</v>
      </c>
      <c r="K43" s="306"/>
      <c r="M43">
        <f t="shared" si="21"/>
        <v>0</v>
      </c>
      <c r="N43" s="415"/>
      <c r="O43" s="415"/>
    </row>
    <row r="44" customFormat="1" ht="20" customHeight="1" spans="1:17">
      <c r="A44" s="418">
        <v>2010405</v>
      </c>
      <c r="B44" s="421" t="s">
        <v>191</v>
      </c>
      <c r="C44" s="307">
        <v>0</v>
      </c>
      <c r="D44" s="343"/>
      <c r="E44" s="423"/>
      <c r="F44" s="414"/>
      <c r="G44" s="346">
        <f t="shared" si="2"/>
        <v>0</v>
      </c>
      <c r="H44" s="414"/>
      <c r="I44" s="343"/>
      <c r="J44" s="307">
        <f t="shared" si="4"/>
        <v>0</v>
      </c>
      <c r="K44" s="306"/>
      <c r="M44">
        <f t="shared" si="21"/>
        <v>0</v>
      </c>
      <c r="N44" s="415"/>
      <c r="O44" s="415"/>
    </row>
    <row r="45" customFormat="1" ht="20" customHeight="1" spans="1:17">
      <c r="A45" s="418">
        <v>2010406</v>
      </c>
      <c r="B45" s="419" t="s">
        <v>192</v>
      </c>
      <c r="C45" s="307">
        <v>0</v>
      </c>
      <c r="D45" s="343"/>
      <c r="E45" s="423"/>
      <c r="F45" s="414"/>
      <c r="G45" s="346">
        <f t="shared" si="2"/>
        <v>0</v>
      </c>
      <c r="H45" s="414"/>
      <c r="I45" s="343"/>
      <c r="J45" s="307">
        <f t="shared" si="4"/>
        <v>0</v>
      </c>
      <c r="K45" s="306"/>
      <c r="M45">
        <f t="shared" si="21"/>
        <v>0</v>
      </c>
      <c r="N45" s="415"/>
      <c r="O45" s="415"/>
    </row>
    <row r="46" customFormat="1" ht="20" customHeight="1" spans="1:17">
      <c r="A46" s="418">
        <v>2010407</v>
      </c>
      <c r="B46" s="419" t="s">
        <v>193</v>
      </c>
      <c r="C46" s="307">
        <v>0</v>
      </c>
      <c r="D46" s="343"/>
      <c r="E46" s="423"/>
      <c r="F46" s="414"/>
      <c r="G46" s="346">
        <f t="shared" si="2"/>
        <v>0</v>
      </c>
      <c r="H46" s="414"/>
      <c r="I46" s="343"/>
      <c r="J46" s="307">
        <f t="shared" si="4"/>
        <v>0</v>
      </c>
      <c r="K46" s="306"/>
      <c r="M46">
        <f t="shared" si="21"/>
        <v>0</v>
      </c>
      <c r="N46" s="415"/>
      <c r="O46" s="415"/>
    </row>
    <row r="47" customFormat="1" ht="20" customHeight="1" spans="1:17">
      <c r="A47" s="418">
        <v>2010408</v>
      </c>
      <c r="B47" s="419" t="s">
        <v>194</v>
      </c>
      <c r="C47" s="307">
        <v>2.133</v>
      </c>
      <c r="D47" s="343"/>
      <c r="E47" s="423">
        <v>5</v>
      </c>
      <c r="F47" s="414"/>
      <c r="G47" s="346">
        <f t="shared" si="2"/>
        <v>2.867</v>
      </c>
      <c r="H47" s="414">
        <f t="shared" ref="H47:H51" si="26">G47/C47*100</f>
        <v>134.41162681669</v>
      </c>
      <c r="I47" s="343"/>
      <c r="J47" s="307">
        <f t="shared" si="4"/>
        <v>0</v>
      </c>
      <c r="K47" s="306"/>
      <c r="M47">
        <f t="shared" si="21"/>
        <v>0</v>
      </c>
      <c r="N47" s="415"/>
      <c r="O47" s="415"/>
      <c r="P47">
        <v>5</v>
      </c>
      <c r="Q47">
        <v>5</v>
      </c>
    </row>
    <row r="48" customFormat="1" ht="20" customHeight="1" spans="1:17">
      <c r="A48" s="418">
        <v>2010450</v>
      </c>
      <c r="B48" s="419" t="s">
        <v>174</v>
      </c>
      <c r="C48" s="307">
        <v>311.651789</v>
      </c>
      <c r="D48" s="425">
        <v>0.0432</v>
      </c>
      <c r="E48" s="423"/>
      <c r="F48" s="414">
        <f t="shared" ref="F48:F52" si="27">E48/D48*100</f>
        <v>0</v>
      </c>
      <c r="G48" s="346">
        <f t="shared" si="2"/>
        <v>-311.651789</v>
      </c>
      <c r="H48" s="414">
        <f t="shared" si="26"/>
        <v>-100</v>
      </c>
      <c r="I48" s="425"/>
      <c r="J48" s="307">
        <f t="shared" si="4"/>
        <v>-0.0432</v>
      </c>
      <c r="K48" s="306">
        <f t="shared" ref="K48:K52" si="28">J48/D48*100</f>
        <v>-100</v>
      </c>
      <c r="M48">
        <f t="shared" si="21"/>
        <v>459</v>
      </c>
      <c r="N48" s="415">
        <v>459</v>
      </c>
      <c r="O48" s="415"/>
    </row>
    <row r="49" customFormat="1" ht="20" customHeight="1" spans="1:16">
      <c r="A49" s="418">
        <v>2010499</v>
      </c>
      <c r="B49" s="421" t="s">
        <v>195</v>
      </c>
      <c r="C49" s="307">
        <v>3000</v>
      </c>
      <c r="D49" s="425">
        <v>6.8</v>
      </c>
      <c r="E49" s="423">
        <v>7</v>
      </c>
      <c r="F49" s="414">
        <f t="shared" si="27"/>
        <v>102.941176470588</v>
      </c>
      <c r="G49" s="346">
        <f t="shared" si="2"/>
        <v>-2993</v>
      </c>
      <c r="H49" s="414">
        <f t="shared" si="26"/>
        <v>-99.7666666666667</v>
      </c>
      <c r="I49" s="425">
        <v>411</v>
      </c>
      <c r="J49" s="307">
        <f t="shared" si="4"/>
        <v>404.2</v>
      </c>
      <c r="K49" s="306">
        <f t="shared" si="28"/>
        <v>5944.11764705882</v>
      </c>
      <c r="M49">
        <f t="shared" si="21"/>
        <v>0</v>
      </c>
      <c r="N49" s="415"/>
      <c r="O49" s="415"/>
    </row>
    <row r="50" customFormat="1" ht="20" customHeight="1" spans="1:16">
      <c r="A50" s="416">
        <v>20105</v>
      </c>
      <c r="B50" s="426" t="s">
        <v>196</v>
      </c>
      <c r="C50" s="347">
        <f>SUM(C51:C60)</f>
        <v>623.227137</v>
      </c>
      <c r="D50" s="347">
        <f t="shared" ref="D50:I50" si="29">SUM(D51:D60)</f>
        <v>530.358624</v>
      </c>
      <c r="E50" s="347">
        <f t="shared" si="29"/>
        <v>705</v>
      </c>
      <c r="F50" s="414">
        <f t="shared" si="27"/>
        <v>132.928921695068</v>
      </c>
      <c r="G50" s="346">
        <f t="shared" si="2"/>
        <v>81.772863</v>
      </c>
      <c r="H50" s="414">
        <f t="shared" si="26"/>
        <v>13.1208765063772</v>
      </c>
      <c r="I50" s="347">
        <f t="shared" si="29"/>
        <v>604.498451</v>
      </c>
      <c r="J50" s="307">
        <f t="shared" si="4"/>
        <v>74.139827</v>
      </c>
      <c r="K50" s="306">
        <f t="shared" si="28"/>
        <v>13.9791875996722</v>
      </c>
      <c r="M50">
        <f t="shared" si="21"/>
        <v>0</v>
      </c>
      <c r="N50" s="415"/>
      <c r="O50" s="415"/>
    </row>
    <row r="51" customFormat="1" ht="20" customHeight="1" spans="1:16">
      <c r="A51" s="418">
        <v>2010501</v>
      </c>
      <c r="B51" s="421" t="s">
        <v>165</v>
      </c>
      <c r="C51" s="307">
        <v>288.804986</v>
      </c>
      <c r="D51" s="425">
        <v>295.978256</v>
      </c>
      <c r="E51" s="423">
        <v>289</v>
      </c>
      <c r="F51" s="414">
        <f t="shared" si="27"/>
        <v>97.6423078862928</v>
      </c>
      <c r="G51" s="346">
        <f t="shared" si="2"/>
        <v>0.195014000000015</v>
      </c>
      <c r="H51" s="414">
        <f t="shared" si="26"/>
        <v>0.0675244574898076</v>
      </c>
      <c r="I51" s="420">
        <v>282.279876</v>
      </c>
      <c r="J51" s="307">
        <f t="shared" si="4"/>
        <v>-13.69838</v>
      </c>
      <c r="K51" s="306">
        <f t="shared" si="28"/>
        <v>-4.62817106402573</v>
      </c>
      <c r="M51" s="278">
        <f t="shared" si="21"/>
        <v>276</v>
      </c>
      <c r="N51" s="415">
        <v>276</v>
      </c>
      <c r="O51" s="415"/>
    </row>
    <row r="52" customFormat="1" ht="20" customHeight="1" spans="1:16">
      <c r="A52" s="418">
        <v>2010502</v>
      </c>
      <c r="B52" s="422" t="s">
        <v>166</v>
      </c>
      <c r="C52" s="307">
        <v>0</v>
      </c>
      <c r="D52" s="425">
        <v>1.5</v>
      </c>
      <c r="E52" s="423">
        <v>1</v>
      </c>
      <c r="F52" s="414">
        <f t="shared" si="27"/>
        <v>66.6666666666667</v>
      </c>
      <c r="G52" s="346">
        <f t="shared" si="2"/>
        <v>1</v>
      </c>
      <c r="H52" s="414"/>
      <c r="I52" s="420">
        <v>1.5</v>
      </c>
      <c r="J52" s="307">
        <f t="shared" si="4"/>
        <v>0</v>
      </c>
      <c r="K52" s="306">
        <f t="shared" si="28"/>
        <v>0</v>
      </c>
      <c r="M52" s="278">
        <f t="shared" si="21"/>
        <v>0</v>
      </c>
      <c r="N52" s="415"/>
      <c r="O52" s="415"/>
    </row>
    <row r="53" customFormat="1" ht="20" customHeight="1" spans="1:16">
      <c r="A53" s="418">
        <v>2010503</v>
      </c>
      <c r="B53" s="419" t="s">
        <v>167</v>
      </c>
      <c r="C53" s="307">
        <v>0</v>
      </c>
      <c r="D53" s="343"/>
      <c r="E53" s="423"/>
      <c r="F53" s="414"/>
      <c r="G53" s="346">
        <f t="shared" si="2"/>
        <v>0</v>
      </c>
      <c r="H53" s="414"/>
      <c r="I53" s="343"/>
      <c r="J53" s="307">
        <f t="shared" si="4"/>
        <v>0</v>
      </c>
      <c r="K53" s="306"/>
      <c r="M53" s="278">
        <f t="shared" si="21"/>
        <v>0</v>
      </c>
      <c r="N53" s="415"/>
      <c r="O53" s="415"/>
    </row>
    <row r="54" customFormat="1" ht="20" customHeight="1" spans="1:16">
      <c r="A54" s="418">
        <v>2010504</v>
      </c>
      <c r="B54" s="419" t="s">
        <v>197</v>
      </c>
      <c r="C54" s="307">
        <v>130.131356</v>
      </c>
      <c r="D54" s="425">
        <v>122.845707</v>
      </c>
      <c r="E54" s="423">
        <v>126</v>
      </c>
      <c r="F54" s="414">
        <f t="shared" ref="F54:F56" si="30">E54/D54*100</f>
        <v>102.567686797553</v>
      </c>
      <c r="G54" s="346">
        <f t="shared" si="2"/>
        <v>-4.13135600000001</v>
      </c>
      <c r="H54" s="414">
        <f t="shared" ref="H54:H58" si="31">G54/C54*100</f>
        <v>-3.17475828039478</v>
      </c>
      <c r="I54" s="420">
        <v>127.629646</v>
      </c>
      <c r="J54" s="307">
        <f t="shared" si="4"/>
        <v>4.78393899999999</v>
      </c>
      <c r="K54" s="306">
        <f t="shared" ref="K54:K56" si="32">J54/D54*100</f>
        <v>3.89426632548095</v>
      </c>
      <c r="M54" s="278">
        <f t="shared" si="21"/>
        <v>134</v>
      </c>
      <c r="N54" s="415">
        <v>134</v>
      </c>
      <c r="O54" s="415"/>
    </row>
    <row r="55" customFormat="1" ht="20" customHeight="1" spans="1:16">
      <c r="A55" s="418">
        <v>2010505</v>
      </c>
      <c r="B55" s="419" t="s">
        <v>198</v>
      </c>
      <c r="C55" s="307">
        <v>90.410295</v>
      </c>
      <c r="D55" s="425">
        <v>36.394661</v>
      </c>
      <c r="E55" s="423">
        <v>126</v>
      </c>
      <c r="F55" s="414">
        <f t="shared" si="30"/>
        <v>346.204626002699</v>
      </c>
      <c r="G55" s="346">
        <f t="shared" si="2"/>
        <v>35.589705</v>
      </c>
      <c r="H55" s="414">
        <f t="shared" si="31"/>
        <v>39.3646597436719</v>
      </c>
      <c r="I55" s="420">
        <v>143.088929</v>
      </c>
      <c r="J55" s="307">
        <f t="shared" si="4"/>
        <v>106.694268</v>
      </c>
      <c r="K55" s="306">
        <f t="shared" si="32"/>
        <v>293.159120234696</v>
      </c>
      <c r="M55" s="278">
        <f t="shared" si="21"/>
        <v>57</v>
      </c>
      <c r="N55" s="415">
        <v>57</v>
      </c>
      <c r="O55" s="415"/>
    </row>
    <row r="56" customFormat="1" ht="20" customHeight="1" spans="1:16">
      <c r="A56" s="418">
        <v>2010506</v>
      </c>
      <c r="B56" s="421" t="s">
        <v>199</v>
      </c>
      <c r="C56" s="307">
        <v>47</v>
      </c>
      <c r="D56" s="343">
        <v>47</v>
      </c>
      <c r="E56" s="423">
        <v>54</v>
      </c>
      <c r="F56" s="414">
        <f t="shared" si="30"/>
        <v>114.893617021277</v>
      </c>
      <c r="G56" s="346">
        <f t="shared" si="2"/>
        <v>7</v>
      </c>
      <c r="H56" s="414">
        <f t="shared" si="31"/>
        <v>14.8936170212766</v>
      </c>
      <c r="I56" s="343"/>
      <c r="J56" s="307">
        <f t="shared" si="4"/>
        <v>-47</v>
      </c>
      <c r="K56" s="306">
        <f t="shared" si="32"/>
        <v>-100</v>
      </c>
      <c r="M56" s="278">
        <f t="shared" si="21"/>
        <v>0</v>
      </c>
      <c r="N56" s="415"/>
      <c r="O56" s="415"/>
      <c r="P56">
        <v>47</v>
      </c>
    </row>
    <row r="57" customFormat="1" ht="20" customHeight="1" spans="1:16">
      <c r="A57" s="418">
        <v>2010507</v>
      </c>
      <c r="B57" s="421" t="s">
        <v>200</v>
      </c>
      <c r="C57" s="307">
        <v>33.257</v>
      </c>
      <c r="D57" s="343"/>
      <c r="E57" s="423">
        <v>6</v>
      </c>
      <c r="F57" s="414"/>
      <c r="G57" s="346">
        <f t="shared" si="2"/>
        <v>-27.257</v>
      </c>
      <c r="H57" s="414">
        <f t="shared" si="31"/>
        <v>-81.9586853895421</v>
      </c>
      <c r="I57" s="420">
        <v>40</v>
      </c>
      <c r="J57" s="307">
        <f t="shared" si="4"/>
        <v>40</v>
      </c>
      <c r="K57" s="306"/>
      <c r="M57" s="278">
        <f t="shared" si="21"/>
        <v>5</v>
      </c>
      <c r="N57" s="415">
        <v>5</v>
      </c>
      <c r="O57" s="415"/>
    </row>
    <row r="58" customFormat="1" ht="20" customHeight="1" spans="1:16">
      <c r="A58" s="418">
        <v>2010508</v>
      </c>
      <c r="B58" s="421" t="s">
        <v>201</v>
      </c>
      <c r="C58" s="307">
        <v>33.6235</v>
      </c>
      <c r="D58" s="425">
        <v>26.64</v>
      </c>
      <c r="E58" s="423">
        <v>103</v>
      </c>
      <c r="F58" s="414">
        <f t="shared" ref="F58:F63" si="33">E58/D58*100</f>
        <v>386.636636636637</v>
      </c>
      <c r="G58" s="346">
        <f t="shared" si="2"/>
        <v>69.3765</v>
      </c>
      <c r="H58" s="414">
        <f t="shared" si="31"/>
        <v>206.333368031288</v>
      </c>
      <c r="I58" s="420">
        <v>10</v>
      </c>
      <c r="J58" s="307">
        <f t="shared" si="4"/>
        <v>-16.64</v>
      </c>
      <c r="K58" s="306">
        <f t="shared" ref="K58:K63" si="34">J58/D58*100</f>
        <v>-62.4624624624625</v>
      </c>
      <c r="M58" s="278">
        <f t="shared" si="21"/>
        <v>2</v>
      </c>
      <c r="N58" s="415">
        <v>2</v>
      </c>
      <c r="O58" s="415"/>
    </row>
    <row r="59" customFormat="1" ht="20" customHeight="1" spans="1:16">
      <c r="A59" s="418">
        <v>2010550</v>
      </c>
      <c r="B59" s="419" t="s">
        <v>174</v>
      </c>
      <c r="C59" s="307">
        <v>0</v>
      </c>
      <c r="D59" s="343"/>
      <c r="E59" s="423"/>
      <c r="F59" s="414"/>
      <c r="G59" s="346">
        <f t="shared" si="2"/>
        <v>0</v>
      </c>
      <c r="H59" s="414"/>
      <c r="I59" s="343"/>
      <c r="J59" s="307">
        <f t="shared" si="4"/>
        <v>0</v>
      </c>
      <c r="K59" s="306"/>
      <c r="M59" s="278">
        <f t="shared" si="21"/>
        <v>0</v>
      </c>
      <c r="N59" s="415"/>
      <c r="O59" s="415"/>
    </row>
    <row r="60" customFormat="1" ht="20" customHeight="1" spans="1:16">
      <c r="A60" s="418">
        <v>2010599</v>
      </c>
      <c r="B60" s="419" t="s">
        <v>202</v>
      </c>
      <c r="C60" s="307">
        <v>0</v>
      </c>
      <c r="D60" s="343"/>
      <c r="E60" s="423"/>
      <c r="F60" s="414"/>
      <c r="G60" s="346">
        <f t="shared" si="2"/>
        <v>0</v>
      </c>
      <c r="H60" s="414"/>
      <c r="I60" s="343"/>
      <c r="J60" s="307">
        <f t="shared" si="4"/>
        <v>0</v>
      </c>
      <c r="K60" s="306"/>
      <c r="M60">
        <f t="shared" si="21"/>
        <v>0</v>
      </c>
      <c r="N60" s="415"/>
      <c r="O60" s="415"/>
    </row>
    <row r="61" customFormat="1" ht="20" customHeight="1" spans="1:16">
      <c r="A61" s="416">
        <v>20106</v>
      </c>
      <c r="B61" s="417" t="s">
        <v>203</v>
      </c>
      <c r="C61" s="347">
        <f>SUM(C62:C71)</f>
        <v>1496.315921</v>
      </c>
      <c r="D61" s="347">
        <f t="shared" ref="D61:I61" si="35">SUM(D62:D71)</f>
        <v>1285.102121</v>
      </c>
      <c r="E61" s="347">
        <f t="shared" si="35"/>
        <v>1211</v>
      </c>
      <c r="F61" s="414">
        <f t="shared" si="33"/>
        <v>94.2337562292452</v>
      </c>
      <c r="G61" s="346">
        <f t="shared" si="2"/>
        <v>-285.315921</v>
      </c>
      <c r="H61" s="414">
        <f t="shared" ref="H61:H63" si="36">G61/C61*100</f>
        <v>-19.0678931498183</v>
      </c>
      <c r="I61" s="347">
        <f t="shared" si="35"/>
        <v>1375.03005</v>
      </c>
      <c r="J61" s="307">
        <f t="shared" si="4"/>
        <v>89.9279290000002</v>
      </c>
      <c r="K61" s="306">
        <f t="shared" si="34"/>
        <v>6.99772629197926</v>
      </c>
      <c r="M61">
        <f t="shared" si="21"/>
        <v>0</v>
      </c>
      <c r="N61" s="415"/>
      <c r="O61" s="415"/>
    </row>
    <row r="62" customFormat="1" ht="20" customHeight="1" spans="1:16">
      <c r="A62" s="418">
        <v>2010601</v>
      </c>
      <c r="B62" s="421" t="s">
        <v>165</v>
      </c>
      <c r="C62" s="307">
        <v>839.034006</v>
      </c>
      <c r="D62" s="425">
        <v>855.102121</v>
      </c>
      <c r="E62" s="423">
        <v>906</v>
      </c>
      <c r="F62" s="414">
        <f t="shared" si="33"/>
        <v>105.952257367866</v>
      </c>
      <c r="G62" s="346">
        <f t="shared" si="2"/>
        <v>66.965994</v>
      </c>
      <c r="H62" s="414">
        <f t="shared" si="36"/>
        <v>7.98132060454294</v>
      </c>
      <c r="I62" s="420">
        <v>887.72005</v>
      </c>
      <c r="J62" s="307">
        <f t="shared" si="4"/>
        <v>32.617929</v>
      </c>
      <c r="K62" s="306">
        <f t="shared" si="34"/>
        <v>3.81450685233419</v>
      </c>
      <c r="M62">
        <f t="shared" si="21"/>
        <v>847</v>
      </c>
      <c r="N62" s="415">
        <v>847</v>
      </c>
      <c r="O62" s="415"/>
    </row>
    <row r="63" customFormat="1" ht="20" customHeight="1" spans="1:16">
      <c r="A63" s="418">
        <v>2010602</v>
      </c>
      <c r="B63" s="239" t="s">
        <v>166</v>
      </c>
      <c r="C63" s="307">
        <v>302.731356</v>
      </c>
      <c r="D63" s="425">
        <v>15</v>
      </c>
      <c r="E63" s="423">
        <v>262</v>
      </c>
      <c r="F63" s="414">
        <f t="shared" si="33"/>
        <v>1746.66666666667</v>
      </c>
      <c r="G63" s="346">
        <f t="shared" si="2"/>
        <v>-40.731356</v>
      </c>
      <c r="H63" s="414">
        <f t="shared" si="36"/>
        <v>-13.4546208024781</v>
      </c>
      <c r="I63" s="425">
        <v>44.95</v>
      </c>
      <c r="J63" s="307">
        <f t="shared" si="4"/>
        <v>29.95</v>
      </c>
      <c r="K63" s="306">
        <f t="shared" si="34"/>
        <v>199.666666666667</v>
      </c>
      <c r="M63">
        <f t="shared" si="21"/>
        <v>27</v>
      </c>
      <c r="N63" s="415">
        <v>27</v>
      </c>
      <c r="O63" s="415"/>
    </row>
    <row r="64" customFormat="1" ht="20" customHeight="1" spans="1:16">
      <c r="A64" s="418">
        <v>2010603</v>
      </c>
      <c r="B64" s="239" t="s">
        <v>167</v>
      </c>
      <c r="C64" s="307">
        <v>0</v>
      </c>
      <c r="D64" s="343"/>
      <c r="E64" s="423"/>
      <c r="F64" s="414"/>
      <c r="G64" s="346">
        <f t="shared" si="2"/>
        <v>0</v>
      </c>
      <c r="H64" s="414"/>
      <c r="I64" s="343"/>
      <c r="J64" s="307">
        <f t="shared" si="4"/>
        <v>0</v>
      </c>
      <c r="K64" s="306"/>
      <c r="M64">
        <f t="shared" si="21"/>
        <v>0</v>
      </c>
      <c r="N64" s="415"/>
      <c r="O64" s="415"/>
    </row>
    <row r="65" customFormat="1" ht="20" customHeight="1" spans="1:15">
      <c r="A65" s="418">
        <v>2010604</v>
      </c>
      <c r="B65" s="239" t="s">
        <v>204</v>
      </c>
      <c r="C65" s="307">
        <v>0</v>
      </c>
      <c r="D65" s="343"/>
      <c r="E65" s="423"/>
      <c r="F65" s="414"/>
      <c r="G65" s="346">
        <f t="shared" si="2"/>
        <v>0</v>
      </c>
      <c r="H65" s="414"/>
      <c r="I65" s="343"/>
      <c r="J65" s="307">
        <f t="shared" si="4"/>
        <v>0</v>
      </c>
      <c r="K65" s="306"/>
      <c r="M65">
        <f t="shared" si="21"/>
        <v>0</v>
      </c>
      <c r="N65" s="415"/>
      <c r="O65" s="415"/>
    </row>
    <row r="66" customFormat="1" ht="20" customHeight="1" spans="1:15">
      <c r="A66" s="418">
        <v>2010605</v>
      </c>
      <c r="B66" s="239" t="s">
        <v>205</v>
      </c>
      <c r="C66" s="307">
        <v>0</v>
      </c>
      <c r="D66" s="343"/>
      <c r="E66" s="423"/>
      <c r="F66" s="414"/>
      <c r="G66" s="346">
        <f t="shared" si="2"/>
        <v>0</v>
      </c>
      <c r="H66" s="414"/>
      <c r="I66" s="343"/>
      <c r="J66" s="307">
        <f t="shared" si="4"/>
        <v>0</v>
      </c>
      <c r="K66" s="306"/>
      <c r="M66">
        <f t="shared" si="21"/>
        <v>0</v>
      </c>
      <c r="N66" s="415"/>
      <c r="O66" s="415"/>
    </row>
    <row r="67" customFormat="1" ht="20" customHeight="1" spans="1:15">
      <c r="A67" s="418">
        <v>2010606</v>
      </c>
      <c r="B67" s="239" t="s">
        <v>206</v>
      </c>
      <c r="C67" s="307">
        <v>0</v>
      </c>
      <c r="D67" s="343"/>
      <c r="E67" s="423"/>
      <c r="F67" s="414"/>
      <c r="G67" s="346">
        <f t="shared" si="2"/>
        <v>0</v>
      </c>
      <c r="H67" s="414"/>
      <c r="I67" s="343"/>
      <c r="J67" s="307">
        <f t="shared" si="4"/>
        <v>0</v>
      </c>
      <c r="K67" s="306"/>
      <c r="M67">
        <f t="shared" si="21"/>
        <v>0</v>
      </c>
      <c r="N67" s="415"/>
      <c r="O67" s="415"/>
    </row>
    <row r="68" customFormat="1" ht="20" customHeight="1" spans="1:15">
      <c r="A68" s="418">
        <v>2010607</v>
      </c>
      <c r="B68" s="419" t="s">
        <v>207</v>
      </c>
      <c r="C68" s="307">
        <v>0</v>
      </c>
      <c r="D68" s="343"/>
      <c r="E68" s="423"/>
      <c r="F68" s="414"/>
      <c r="G68" s="346">
        <f t="shared" si="2"/>
        <v>0</v>
      </c>
      <c r="H68" s="414"/>
      <c r="I68" s="343"/>
      <c r="J68" s="307">
        <f t="shared" si="4"/>
        <v>0</v>
      </c>
      <c r="K68" s="306"/>
      <c r="M68">
        <f t="shared" si="21"/>
        <v>0</v>
      </c>
      <c r="N68" s="415"/>
      <c r="O68" s="415"/>
    </row>
    <row r="69" customFormat="1" ht="20" customHeight="1" spans="1:15">
      <c r="A69" s="418">
        <v>2010608</v>
      </c>
      <c r="B69" s="421" t="s">
        <v>208</v>
      </c>
      <c r="C69" s="307">
        <v>0</v>
      </c>
      <c r="D69" s="343"/>
      <c r="E69" s="423">
        <v>41</v>
      </c>
      <c r="F69" s="414"/>
      <c r="G69" s="346">
        <f t="shared" si="2"/>
        <v>41</v>
      </c>
      <c r="H69" s="414"/>
      <c r="I69" s="343"/>
      <c r="J69" s="307">
        <f t="shared" si="4"/>
        <v>0</v>
      </c>
      <c r="K69" s="306"/>
      <c r="M69">
        <f t="shared" si="21"/>
        <v>0</v>
      </c>
      <c r="N69" s="415"/>
      <c r="O69" s="415"/>
    </row>
    <row r="70" customFormat="1" ht="20" customHeight="1" spans="1:15">
      <c r="A70" s="418">
        <v>2010650</v>
      </c>
      <c r="B70" s="421" t="s">
        <v>174</v>
      </c>
      <c r="C70" s="307">
        <v>354.550559</v>
      </c>
      <c r="D70" s="343"/>
      <c r="E70" s="423"/>
      <c r="F70" s="414"/>
      <c r="G70" s="346">
        <f t="shared" ref="G70:G133" si="37">E70-C70</f>
        <v>-354.550559</v>
      </c>
      <c r="H70" s="414">
        <f>G70/C70*100</f>
        <v>-100</v>
      </c>
      <c r="I70" s="420">
        <v>27.36</v>
      </c>
      <c r="J70" s="307">
        <f t="shared" ref="J70:J133" si="38">I70-D70</f>
        <v>27.36</v>
      </c>
      <c r="K70" s="306"/>
      <c r="M70">
        <f t="shared" si="21"/>
        <v>512</v>
      </c>
      <c r="N70" s="415">
        <v>512</v>
      </c>
      <c r="O70" s="415"/>
    </row>
    <row r="71" customFormat="1" ht="20" customHeight="1" spans="1:15">
      <c r="A71" s="418">
        <v>2010699</v>
      </c>
      <c r="B71" s="421" t="s">
        <v>209</v>
      </c>
      <c r="C71" s="307">
        <v>0</v>
      </c>
      <c r="D71" s="343">
        <v>415</v>
      </c>
      <c r="E71" s="423">
        <v>2</v>
      </c>
      <c r="F71" s="414">
        <f>E71/D71*100</f>
        <v>0.481927710843374</v>
      </c>
      <c r="G71" s="346">
        <f t="shared" si="37"/>
        <v>2</v>
      </c>
      <c r="H71" s="414"/>
      <c r="I71" s="343">
        <v>415</v>
      </c>
      <c r="J71" s="307">
        <f t="shared" si="38"/>
        <v>0</v>
      </c>
      <c r="K71" s="306">
        <f>J71/D71*100</f>
        <v>0</v>
      </c>
      <c r="M71">
        <f t="shared" si="21"/>
        <v>10</v>
      </c>
      <c r="N71" s="415"/>
      <c r="O71" s="415">
        <v>10</v>
      </c>
    </row>
    <row r="72" customFormat="1" ht="20" customHeight="1" spans="1:15">
      <c r="A72" s="416">
        <v>20107</v>
      </c>
      <c r="B72" s="417" t="s">
        <v>210</v>
      </c>
      <c r="C72" s="347">
        <f>SUM(C73:C84)</f>
        <v>748.473292</v>
      </c>
      <c r="D72" s="347">
        <f t="shared" ref="D72:I72" si="39">SUM(D73:D84)</f>
        <v>92.60664</v>
      </c>
      <c r="E72" s="347">
        <f t="shared" si="39"/>
        <v>375</v>
      </c>
      <c r="F72" s="414">
        <f>E72/D72*100</f>
        <v>404.938565960281</v>
      </c>
      <c r="G72" s="346">
        <f t="shared" si="37"/>
        <v>-373.473292</v>
      </c>
      <c r="H72" s="414">
        <f>G72/C72*100</f>
        <v>-49.898011858518</v>
      </c>
      <c r="I72" s="347">
        <f t="shared" si="39"/>
        <v>0</v>
      </c>
      <c r="J72" s="307">
        <f t="shared" si="38"/>
        <v>-92.60664</v>
      </c>
      <c r="K72" s="306">
        <f>J72/D72*100</f>
        <v>-100</v>
      </c>
      <c r="M72">
        <f t="shared" si="21"/>
        <v>0</v>
      </c>
      <c r="N72" s="415"/>
      <c r="O72" s="415"/>
    </row>
    <row r="73" customFormat="1" ht="20" customHeight="1" spans="1:15">
      <c r="A73" s="418">
        <v>2010701</v>
      </c>
      <c r="B73" s="419" t="s">
        <v>165</v>
      </c>
      <c r="C73" s="307"/>
      <c r="D73" s="343"/>
      <c r="E73" s="343">
        <v>0</v>
      </c>
      <c r="F73" s="414"/>
      <c r="G73" s="346">
        <f t="shared" si="37"/>
        <v>0</v>
      </c>
      <c r="H73" s="414"/>
      <c r="I73" s="343"/>
      <c r="J73" s="307">
        <f t="shared" si="38"/>
        <v>0</v>
      </c>
      <c r="K73" s="306"/>
      <c r="M73">
        <f t="shared" si="21"/>
        <v>0</v>
      </c>
      <c r="N73" s="415"/>
      <c r="O73" s="415"/>
    </row>
    <row r="74" customFormat="1" ht="20" customHeight="1" spans="1:15">
      <c r="A74" s="418">
        <v>2010702</v>
      </c>
      <c r="B74" s="419" t="s">
        <v>166</v>
      </c>
      <c r="C74" s="307"/>
      <c r="D74" s="343"/>
      <c r="E74" s="343">
        <v>0</v>
      </c>
      <c r="F74" s="414"/>
      <c r="G74" s="346">
        <f t="shared" si="37"/>
        <v>0</v>
      </c>
      <c r="H74" s="414"/>
      <c r="I74" s="343"/>
      <c r="J74" s="307">
        <f t="shared" si="38"/>
        <v>0</v>
      </c>
      <c r="K74" s="306"/>
      <c r="M74">
        <f t="shared" si="21"/>
        <v>0</v>
      </c>
      <c r="N74" s="415"/>
      <c r="O74" s="415"/>
    </row>
    <row r="75" customFormat="1" ht="20" customHeight="1" spans="1:15">
      <c r="A75" s="418">
        <v>2010703</v>
      </c>
      <c r="B75" s="421" t="s">
        <v>167</v>
      </c>
      <c r="C75" s="307"/>
      <c r="D75" s="343"/>
      <c r="E75" s="343">
        <v>0</v>
      </c>
      <c r="F75" s="414"/>
      <c r="G75" s="346">
        <f t="shared" si="37"/>
        <v>0</v>
      </c>
      <c r="H75" s="414"/>
      <c r="I75" s="343"/>
      <c r="J75" s="307">
        <f t="shared" si="38"/>
        <v>0</v>
      </c>
      <c r="K75" s="306"/>
      <c r="M75">
        <f t="shared" si="21"/>
        <v>0</v>
      </c>
      <c r="N75" s="415"/>
      <c r="O75" s="415"/>
    </row>
    <row r="76" customFormat="1" ht="20" customHeight="1" spans="1:15">
      <c r="A76" s="418">
        <v>2010704</v>
      </c>
      <c r="B76" s="421" t="s">
        <v>211</v>
      </c>
      <c r="C76" s="307"/>
      <c r="D76" s="343"/>
      <c r="E76" s="343">
        <v>0</v>
      </c>
      <c r="F76" s="414"/>
      <c r="G76" s="346">
        <f t="shared" si="37"/>
        <v>0</v>
      </c>
      <c r="H76" s="414"/>
      <c r="I76" s="343"/>
      <c r="J76" s="307">
        <f t="shared" si="38"/>
        <v>0</v>
      </c>
      <c r="K76" s="306"/>
      <c r="M76">
        <f t="shared" si="21"/>
        <v>0</v>
      </c>
      <c r="N76" s="415"/>
      <c r="O76" s="415"/>
    </row>
    <row r="77" customFormat="1" ht="20" customHeight="1" spans="1:15">
      <c r="A77" s="418">
        <v>2010705</v>
      </c>
      <c r="B77" s="421" t="s">
        <v>212</v>
      </c>
      <c r="C77" s="307"/>
      <c r="D77" s="343"/>
      <c r="E77" s="343">
        <v>0</v>
      </c>
      <c r="F77" s="414"/>
      <c r="G77" s="346">
        <f t="shared" si="37"/>
        <v>0</v>
      </c>
      <c r="H77" s="414"/>
      <c r="I77" s="343"/>
      <c r="J77" s="307">
        <f t="shared" si="38"/>
        <v>0</v>
      </c>
      <c r="K77" s="306"/>
      <c r="M77">
        <f t="shared" si="21"/>
        <v>0</v>
      </c>
      <c r="N77" s="415"/>
      <c r="O77" s="415"/>
    </row>
    <row r="78" customFormat="1" ht="20" customHeight="1" spans="1:15">
      <c r="A78" s="418">
        <v>2010706</v>
      </c>
      <c r="B78" s="422" t="s">
        <v>213</v>
      </c>
      <c r="C78" s="307"/>
      <c r="D78" s="343"/>
      <c r="E78" s="343">
        <v>0</v>
      </c>
      <c r="F78" s="414"/>
      <c r="G78" s="346">
        <f t="shared" si="37"/>
        <v>0</v>
      </c>
      <c r="H78" s="414"/>
      <c r="I78" s="343"/>
      <c r="J78" s="307">
        <f t="shared" si="38"/>
        <v>0</v>
      </c>
      <c r="K78" s="306"/>
      <c r="M78">
        <f t="shared" si="21"/>
        <v>0</v>
      </c>
      <c r="N78" s="415"/>
      <c r="O78" s="415"/>
    </row>
    <row r="79" customFormat="1" ht="20" customHeight="1" spans="1:15">
      <c r="A79" s="418">
        <v>2010707</v>
      </c>
      <c r="B79" s="419" t="s">
        <v>214</v>
      </c>
      <c r="C79" s="307"/>
      <c r="D79" s="343"/>
      <c r="E79" s="343">
        <v>0</v>
      </c>
      <c r="F79" s="414"/>
      <c r="G79" s="346">
        <f t="shared" si="37"/>
        <v>0</v>
      </c>
      <c r="H79" s="414"/>
      <c r="I79" s="343"/>
      <c r="J79" s="307">
        <f t="shared" si="38"/>
        <v>0</v>
      </c>
      <c r="K79" s="306"/>
      <c r="M79">
        <f t="shared" si="21"/>
        <v>0</v>
      </c>
      <c r="N79" s="415"/>
      <c r="O79" s="415"/>
    </row>
    <row r="80" customFormat="1" ht="20" customHeight="1" spans="1:15">
      <c r="A80" s="418">
        <v>2010708</v>
      </c>
      <c r="B80" s="419" t="s">
        <v>215</v>
      </c>
      <c r="C80" s="307"/>
      <c r="D80" s="343"/>
      <c r="E80" s="343">
        <v>0</v>
      </c>
      <c r="F80" s="414"/>
      <c r="G80" s="346">
        <f t="shared" si="37"/>
        <v>0</v>
      </c>
      <c r="H80" s="414"/>
      <c r="I80" s="343"/>
      <c r="J80" s="307">
        <f t="shared" si="38"/>
        <v>0</v>
      </c>
      <c r="K80" s="306"/>
      <c r="M80">
        <f t="shared" si="21"/>
        <v>0</v>
      </c>
      <c r="N80" s="415"/>
      <c r="O80" s="415"/>
    </row>
    <row r="81" customFormat="1" ht="20" customHeight="1" spans="1:16">
      <c r="A81" s="418">
        <v>2010709</v>
      </c>
      <c r="B81" s="419" t="s">
        <v>207</v>
      </c>
      <c r="C81" s="307"/>
      <c r="D81" s="343"/>
      <c r="E81" s="343">
        <v>0</v>
      </c>
      <c r="F81" s="414"/>
      <c r="G81" s="346">
        <f t="shared" si="37"/>
        <v>0</v>
      </c>
      <c r="H81" s="414"/>
      <c r="I81" s="343"/>
      <c r="J81" s="307">
        <f t="shared" si="38"/>
        <v>0</v>
      </c>
      <c r="K81" s="306"/>
      <c r="M81">
        <f t="shared" si="21"/>
        <v>0</v>
      </c>
      <c r="N81" s="415"/>
      <c r="O81" s="415"/>
    </row>
    <row r="82" customFormat="1" ht="20" customHeight="1" spans="1:16">
      <c r="A82" s="418">
        <v>2010710</v>
      </c>
      <c r="B82" s="419" t="s">
        <v>216</v>
      </c>
      <c r="C82" s="307"/>
      <c r="D82" s="343"/>
      <c r="E82" s="343">
        <v>0</v>
      </c>
      <c r="F82" s="414"/>
      <c r="G82" s="346">
        <f t="shared" si="37"/>
        <v>0</v>
      </c>
      <c r="H82" s="414"/>
      <c r="I82" s="343"/>
      <c r="J82" s="307">
        <f t="shared" si="38"/>
        <v>0</v>
      </c>
      <c r="K82" s="306"/>
      <c r="M82">
        <f t="shared" si="21"/>
        <v>0</v>
      </c>
      <c r="N82" s="415"/>
      <c r="O82" s="415"/>
    </row>
    <row r="83" customFormat="1" ht="20" customHeight="1" spans="1:16">
      <c r="A83" s="418">
        <v>2010750</v>
      </c>
      <c r="B83" s="421" t="s">
        <v>174</v>
      </c>
      <c r="C83" s="307"/>
      <c r="D83" s="343"/>
      <c r="E83" s="343">
        <v>0</v>
      </c>
      <c r="F83" s="414"/>
      <c r="G83" s="346">
        <f t="shared" si="37"/>
        <v>0</v>
      </c>
      <c r="H83" s="414"/>
      <c r="I83" s="343"/>
      <c r="J83" s="307">
        <f t="shared" si="38"/>
        <v>0</v>
      </c>
      <c r="K83" s="306"/>
      <c r="M83">
        <f t="shared" si="21"/>
        <v>0</v>
      </c>
      <c r="N83" s="415"/>
      <c r="O83" s="415"/>
    </row>
    <row r="84" customFormat="1" ht="20" customHeight="1" spans="1:16">
      <c r="A84" s="418">
        <v>2010799</v>
      </c>
      <c r="B84" s="421" t="s">
        <v>217</v>
      </c>
      <c r="C84" s="343">
        <v>748.473292</v>
      </c>
      <c r="D84" s="343">
        <v>92.60664</v>
      </c>
      <c r="E84" s="423">
        <v>375</v>
      </c>
      <c r="F84" s="414">
        <f t="shared" ref="F84:F87" si="40">E84/D84*100</f>
        <v>404.938565960281</v>
      </c>
      <c r="G84" s="346">
        <f t="shared" si="37"/>
        <v>-373.473292</v>
      </c>
      <c r="H84" s="414">
        <f t="shared" ref="H84:H87" si="41">G84/C84*100</f>
        <v>-49.898011858518</v>
      </c>
      <c r="I84" s="343"/>
      <c r="J84" s="307">
        <f t="shared" si="38"/>
        <v>-92.60664</v>
      </c>
      <c r="K84" s="306">
        <f t="shared" ref="K84:K87" si="42">J84/D84*100</f>
        <v>-100</v>
      </c>
      <c r="M84">
        <f t="shared" si="21"/>
        <v>518</v>
      </c>
      <c r="N84" s="415">
        <v>518</v>
      </c>
      <c r="O84" s="415"/>
    </row>
    <row r="85" customFormat="1" ht="20" customHeight="1" spans="1:16">
      <c r="A85" s="416">
        <v>20108</v>
      </c>
      <c r="B85" s="426" t="s">
        <v>218</v>
      </c>
      <c r="C85" s="339">
        <f>SUM(C86:C93)</f>
        <v>220.019972</v>
      </c>
      <c r="D85" s="339">
        <f t="shared" ref="D85:I85" si="43">SUM(D86:D93)</f>
        <v>258.10761</v>
      </c>
      <c r="E85" s="339">
        <f t="shared" si="43"/>
        <v>288</v>
      </c>
      <c r="F85" s="414">
        <f t="shared" si="40"/>
        <v>111.581367166973</v>
      </c>
      <c r="G85" s="346">
        <f t="shared" si="37"/>
        <v>67.980028</v>
      </c>
      <c r="H85" s="414">
        <f t="shared" si="41"/>
        <v>30.8972078225699</v>
      </c>
      <c r="I85" s="339">
        <f t="shared" si="43"/>
        <v>222.721171</v>
      </c>
      <c r="J85" s="307">
        <f t="shared" si="38"/>
        <v>-35.386439</v>
      </c>
      <c r="K85" s="306">
        <f t="shared" si="42"/>
        <v>-13.7099557041344</v>
      </c>
      <c r="M85">
        <f t="shared" si="21"/>
        <v>0</v>
      </c>
      <c r="N85" s="415"/>
      <c r="O85" s="415"/>
    </row>
    <row r="86" customFormat="1" ht="20" customHeight="1" spans="1:16">
      <c r="A86" s="418">
        <v>2010801</v>
      </c>
      <c r="B86" s="419" t="s">
        <v>165</v>
      </c>
      <c r="C86" s="307">
        <v>211.916025</v>
      </c>
      <c r="D86" s="425">
        <v>218.659974</v>
      </c>
      <c r="E86" s="423">
        <v>220</v>
      </c>
      <c r="F86" s="414">
        <f t="shared" si="40"/>
        <v>100.61283552517</v>
      </c>
      <c r="G86" s="346">
        <f t="shared" si="37"/>
        <v>8.08397500000001</v>
      </c>
      <c r="H86" s="414">
        <f t="shared" si="41"/>
        <v>3.8147067924665</v>
      </c>
      <c r="I86" s="420">
        <v>218.751966</v>
      </c>
      <c r="J86" s="307">
        <f t="shared" si="38"/>
        <v>0.0919920000000047</v>
      </c>
      <c r="K86" s="306">
        <f t="shared" si="42"/>
        <v>0.0420707998437815</v>
      </c>
      <c r="M86">
        <f t="shared" si="21"/>
        <v>203</v>
      </c>
      <c r="N86" s="415">
        <v>203</v>
      </c>
      <c r="O86" s="415"/>
    </row>
    <row r="87" customFormat="1" ht="20" customHeight="1" spans="1:16">
      <c r="A87" s="418">
        <v>2010802</v>
      </c>
      <c r="B87" s="419" t="s">
        <v>166</v>
      </c>
      <c r="C87" s="307">
        <v>3.409947</v>
      </c>
      <c r="D87" s="343">
        <v>4.41674</v>
      </c>
      <c r="E87" s="423">
        <v>68</v>
      </c>
      <c r="F87" s="414">
        <f t="shared" si="40"/>
        <v>1539.59707838813</v>
      </c>
      <c r="G87" s="346">
        <f t="shared" si="37"/>
        <v>64.590053</v>
      </c>
      <c r="H87" s="414">
        <f t="shared" si="41"/>
        <v>1894.16589172794</v>
      </c>
      <c r="I87" s="420">
        <v>3.969205</v>
      </c>
      <c r="J87" s="307">
        <f t="shared" si="38"/>
        <v>-0.447535</v>
      </c>
      <c r="K87" s="306">
        <f t="shared" si="42"/>
        <v>-10.1326996834769</v>
      </c>
      <c r="M87">
        <f t="shared" si="21"/>
        <v>2</v>
      </c>
      <c r="N87" s="415">
        <v>2</v>
      </c>
      <c r="O87" s="415"/>
    </row>
    <row r="88" customFormat="1" ht="20" customHeight="1" spans="1:16">
      <c r="A88" s="418">
        <v>2010803</v>
      </c>
      <c r="B88" s="419" t="s">
        <v>167</v>
      </c>
      <c r="C88" s="307">
        <v>0</v>
      </c>
      <c r="D88" s="343"/>
      <c r="E88" s="307"/>
      <c r="F88" s="414"/>
      <c r="G88" s="346">
        <f t="shared" si="37"/>
        <v>0</v>
      </c>
      <c r="H88" s="414"/>
      <c r="I88" s="343"/>
      <c r="J88" s="307">
        <f t="shared" si="38"/>
        <v>0</v>
      </c>
      <c r="K88" s="306"/>
      <c r="M88">
        <f t="shared" si="21"/>
        <v>0</v>
      </c>
      <c r="N88" s="415"/>
      <c r="O88" s="415"/>
    </row>
    <row r="89" customFormat="1" ht="20" customHeight="1" spans="1:16">
      <c r="A89" s="418">
        <v>2010804</v>
      </c>
      <c r="B89" s="421" t="s">
        <v>219</v>
      </c>
      <c r="C89" s="307">
        <v>0</v>
      </c>
      <c r="D89" s="343"/>
      <c r="E89" s="307"/>
      <c r="F89" s="414"/>
      <c r="G89" s="346">
        <f t="shared" si="37"/>
        <v>0</v>
      </c>
      <c r="H89" s="414"/>
      <c r="I89" s="343"/>
      <c r="J89" s="307">
        <f t="shared" si="38"/>
        <v>0</v>
      </c>
      <c r="K89" s="306"/>
      <c r="M89">
        <f t="shared" si="21"/>
        <v>0</v>
      </c>
      <c r="N89" s="415"/>
      <c r="O89" s="415"/>
    </row>
    <row r="90" customFormat="1" ht="20" customHeight="1" spans="1:16">
      <c r="A90" s="418">
        <v>2010805</v>
      </c>
      <c r="B90" s="421" t="s">
        <v>220</v>
      </c>
      <c r="C90" s="307">
        <v>0</v>
      </c>
      <c r="D90" s="343"/>
      <c r="E90" s="307"/>
      <c r="F90" s="414"/>
      <c r="G90" s="346">
        <f t="shared" si="37"/>
        <v>0</v>
      </c>
      <c r="H90" s="414"/>
      <c r="I90" s="343"/>
      <c r="J90" s="307">
        <f t="shared" si="38"/>
        <v>0</v>
      </c>
      <c r="K90" s="306"/>
      <c r="M90">
        <f t="shared" si="21"/>
        <v>0</v>
      </c>
      <c r="N90" s="415"/>
      <c r="O90" s="415"/>
    </row>
    <row r="91" customFormat="1" ht="20" customHeight="1" spans="1:16">
      <c r="A91" s="418">
        <v>2010806</v>
      </c>
      <c r="B91" s="421" t="s">
        <v>207</v>
      </c>
      <c r="C91" s="307">
        <v>0</v>
      </c>
      <c r="D91" s="343"/>
      <c r="E91" s="307"/>
      <c r="F91" s="414"/>
      <c r="G91" s="346">
        <f t="shared" si="37"/>
        <v>0</v>
      </c>
      <c r="H91" s="414"/>
      <c r="I91" s="343"/>
      <c r="J91" s="307">
        <f t="shared" si="38"/>
        <v>0</v>
      </c>
      <c r="K91" s="306"/>
      <c r="M91">
        <f t="shared" si="21"/>
        <v>0</v>
      </c>
      <c r="N91" s="415"/>
      <c r="O91" s="415"/>
    </row>
    <row r="92" customFormat="1" ht="20" customHeight="1" spans="1:16">
      <c r="A92" s="418">
        <v>2010850</v>
      </c>
      <c r="B92" s="421" t="s">
        <v>174</v>
      </c>
      <c r="C92" s="307">
        <v>0</v>
      </c>
      <c r="D92" s="425">
        <v>30.030896</v>
      </c>
      <c r="E92" s="307"/>
      <c r="F92" s="414">
        <f>E92/D92*100</f>
        <v>0</v>
      </c>
      <c r="G92" s="346">
        <f t="shared" si="37"/>
        <v>0</v>
      </c>
      <c r="H92" s="414"/>
      <c r="I92" s="425"/>
      <c r="J92" s="307">
        <f t="shared" si="38"/>
        <v>-30.030896</v>
      </c>
      <c r="K92" s="306">
        <f>J92/D92*100</f>
        <v>-100</v>
      </c>
      <c r="M92">
        <f t="shared" si="21"/>
        <v>0</v>
      </c>
      <c r="N92" s="415"/>
      <c r="O92" s="415"/>
    </row>
    <row r="93" customFormat="1" ht="20" customHeight="1" spans="1:16">
      <c r="A93" s="418">
        <v>2010899</v>
      </c>
      <c r="B93" s="422" t="s">
        <v>221</v>
      </c>
      <c r="C93" s="307">
        <v>4.694</v>
      </c>
      <c r="D93" s="343">
        <v>5</v>
      </c>
      <c r="E93" s="307"/>
      <c r="F93" s="414">
        <f>E93/D93*100</f>
        <v>0</v>
      </c>
      <c r="G93" s="346">
        <f t="shared" si="37"/>
        <v>-4.694</v>
      </c>
      <c r="H93" s="414">
        <f>G93/C93*100</f>
        <v>-100</v>
      </c>
      <c r="I93" s="343"/>
      <c r="J93" s="307">
        <f t="shared" si="38"/>
        <v>-5</v>
      </c>
      <c r="K93" s="306">
        <f>J93/D93*100</f>
        <v>-100</v>
      </c>
      <c r="M93">
        <f t="shared" si="21"/>
        <v>0</v>
      </c>
      <c r="N93" s="415"/>
      <c r="O93" s="415"/>
      <c r="P93">
        <v>5</v>
      </c>
    </row>
    <row r="94" customFormat="1" ht="20" customHeight="1" spans="1:16">
      <c r="A94" s="416">
        <v>20109</v>
      </c>
      <c r="B94" s="417" t="s">
        <v>222</v>
      </c>
      <c r="C94" s="339"/>
      <c r="D94" s="339"/>
      <c r="E94" s="339">
        <v>0</v>
      </c>
      <c r="F94" s="414"/>
      <c r="G94" s="346">
        <f t="shared" si="37"/>
        <v>0</v>
      </c>
      <c r="H94" s="414"/>
      <c r="I94" s="339"/>
      <c r="J94" s="307">
        <f t="shared" si="38"/>
        <v>0</v>
      </c>
      <c r="K94" s="306"/>
      <c r="M94">
        <f t="shared" si="21"/>
        <v>0</v>
      </c>
      <c r="N94" s="415"/>
      <c r="O94" s="415"/>
    </row>
    <row r="95" customFormat="1" ht="20" customHeight="1" spans="1:16">
      <c r="A95" s="418">
        <v>2010901</v>
      </c>
      <c r="B95" s="419" t="s">
        <v>165</v>
      </c>
      <c r="C95" s="307"/>
      <c r="D95" s="343"/>
      <c r="E95" s="343">
        <v>0</v>
      </c>
      <c r="F95" s="414"/>
      <c r="G95" s="346">
        <f t="shared" si="37"/>
        <v>0</v>
      </c>
      <c r="H95" s="414"/>
      <c r="I95" s="343"/>
      <c r="J95" s="307">
        <f t="shared" si="38"/>
        <v>0</v>
      </c>
      <c r="K95" s="306"/>
      <c r="M95">
        <f t="shared" si="21"/>
        <v>0</v>
      </c>
      <c r="N95" s="415"/>
      <c r="O95" s="415"/>
    </row>
    <row r="96" customFormat="1" ht="20" customHeight="1" spans="1:16">
      <c r="A96" s="418">
        <v>2010902</v>
      </c>
      <c r="B96" s="421" t="s">
        <v>166</v>
      </c>
      <c r="C96" s="307"/>
      <c r="D96" s="343"/>
      <c r="E96" s="343">
        <v>0</v>
      </c>
      <c r="F96" s="414"/>
      <c r="G96" s="346">
        <f t="shared" si="37"/>
        <v>0</v>
      </c>
      <c r="H96" s="414"/>
      <c r="I96" s="343"/>
      <c r="J96" s="307">
        <f t="shared" si="38"/>
        <v>0</v>
      </c>
      <c r="K96" s="306"/>
      <c r="M96">
        <f t="shared" si="21"/>
        <v>0</v>
      </c>
      <c r="N96" s="415"/>
      <c r="O96" s="415"/>
    </row>
    <row r="97" customFormat="1" ht="20" customHeight="1" spans="1:15">
      <c r="A97" s="418">
        <v>2010903</v>
      </c>
      <c r="B97" s="421" t="s">
        <v>167</v>
      </c>
      <c r="C97" s="307"/>
      <c r="D97" s="343"/>
      <c r="E97" s="343">
        <v>0</v>
      </c>
      <c r="F97" s="414"/>
      <c r="G97" s="346">
        <f t="shared" si="37"/>
        <v>0</v>
      </c>
      <c r="H97" s="414"/>
      <c r="I97" s="343"/>
      <c r="J97" s="307">
        <f t="shared" si="38"/>
        <v>0</v>
      </c>
      <c r="K97" s="306"/>
      <c r="M97">
        <f t="shared" si="21"/>
        <v>0</v>
      </c>
      <c r="N97" s="415"/>
      <c r="O97" s="415"/>
    </row>
    <row r="98" customFormat="1" ht="20" customHeight="1" spans="1:15">
      <c r="A98" s="418">
        <v>2010905</v>
      </c>
      <c r="B98" s="419" t="s">
        <v>223</v>
      </c>
      <c r="C98" s="307"/>
      <c r="D98" s="343"/>
      <c r="E98" s="343">
        <v>0</v>
      </c>
      <c r="F98" s="414"/>
      <c r="G98" s="346">
        <f t="shared" si="37"/>
        <v>0</v>
      </c>
      <c r="H98" s="414"/>
      <c r="I98" s="343"/>
      <c r="J98" s="307">
        <f t="shared" si="38"/>
        <v>0</v>
      </c>
      <c r="K98" s="306"/>
      <c r="M98">
        <f t="shared" si="21"/>
        <v>0</v>
      </c>
      <c r="N98" s="415"/>
      <c r="O98" s="415"/>
    </row>
    <row r="99" customFormat="1" ht="20" customHeight="1" spans="1:15">
      <c r="A99" s="418">
        <v>2010907</v>
      </c>
      <c r="B99" s="419" t="s">
        <v>224</v>
      </c>
      <c r="C99" s="307"/>
      <c r="D99" s="343"/>
      <c r="E99" s="343">
        <v>0</v>
      </c>
      <c r="F99" s="414"/>
      <c r="G99" s="346">
        <f t="shared" si="37"/>
        <v>0</v>
      </c>
      <c r="H99" s="414"/>
      <c r="I99" s="343"/>
      <c r="J99" s="307">
        <f t="shared" si="38"/>
        <v>0</v>
      </c>
      <c r="K99" s="306"/>
      <c r="M99">
        <f t="shared" si="21"/>
        <v>0</v>
      </c>
      <c r="N99" s="415"/>
      <c r="O99" s="415"/>
    </row>
    <row r="100" customFormat="1" ht="20" customHeight="1" spans="1:15">
      <c r="A100" s="418">
        <v>2010908</v>
      </c>
      <c r="B100" s="419" t="s">
        <v>207</v>
      </c>
      <c r="C100" s="307"/>
      <c r="D100" s="343"/>
      <c r="E100" s="343">
        <v>0</v>
      </c>
      <c r="F100" s="414"/>
      <c r="G100" s="346">
        <f t="shared" si="37"/>
        <v>0</v>
      </c>
      <c r="H100" s="414"/>
      <c r="I100" s="343"/>
      <c r="J100" s="307">
        <f t="shared" si="38"/>
        <v>0</v>
      </c>
      <c r="K100" s="306"/>
      <c r="M100">
        <f t="shared" ref="M100:M163" si="44">N100+O100</f>
        <v>0</v>
      </c>
      <c r="N100" s="415"/>
      <c r="O100" s="415"/>
    </row>
    <row r="101" customFormat="1" ht="20" customHeight="1" spans="1:15">
      <c r="A101" s="418">
        <v>2010950</v>
      </c>
      <c r="B101" s="421" t="s">
        <v>174</v>
      </c>
      <c r="C101" s="307"/>
      <c r="D101" s="343"/>
      <c r="E101" s="343">
        <v>0</v>
      </c>
      <c r="F101" s="414"/>
      <c r="G101" s="346">
        <f t="shared" si="37"/>
        <v>0</v>
      </c>
      <c r="H101" s="414"/>
      <c r="I101" s="343"/>
      <c r="J101" s="307">
        <f t="shared" si="38"/>
        <v>0</v>
      </c>
      <c r="K101" s="306"/>
      <c r="M101">
        <f t="shared" si="44"/>
        <v>0</v>
      </c>
      <c r="N101" s="415"/>
      <c r="O101" s="415"/>
    </row>
    <row r="102" customFormat="1" ht="20" customHeight="1" spans="1:15">
      <c r="A102" s="418">
        <v>2010999</v>
      </c>
      <c r="B102" s="421" t="s">
        <v>225</v>
      </c>
      <c r="C102" s="307"/>
      <c r="D102" s="343"/>
      <c r="E102" s="343">
        <v>0</v>
      </c>
      <c r="F102" s="414"/>
      <c r="G102" s="346">
        <f t="shared" si="37"/>
        <v>0</v>
      </c>
      <c r="H102" s="414"/>
      <c r="I102" s="343"/>
      <c r="J102" s="307">
        <f t="shared" si="38"/>
        <v>0</v>
      </c>
      <c r="K102" s="306"/>
      <c r="M102">
        <f t="shared" si="44"/>
        <v>0</v>
      </c>
      <c r="N102" s="415"/>
      <c r="O102" s="415"/>
    </row>
    <row r="103" customFormat="1" ht="20" customHeight="1" spans="1:15">
      <c r="A103" s="416">
        <v>20111</v>
      </c>
      <c r="B103" s="427" t="s">
        <v>226</v>
      </c>
      <c r="C103" s="339">
        <f>SUM(C104:C111)</f>
        <v>1404.708222</v>
      </c>
      <c r="D103" s="339">
        <f t="shared" ref="D103:I103" si="45">SUM(D104:D111)</f>
        <v>1443.295014</v>
      </c>
      <c r="E103" s="339">
        <f t="shared" si="45"/>
        <v>1530</v>
      </c>
      <c r="F103" s="414">
        <f t="shared" ref="F103:F105" si="46">E103/D103*100</f>
        <v>106.007433349312</v>
      </c>
      <c r="G103" s="346">
        <f t="shared" si="37"/>
        <v>125.291778</v>
      </c>
      <c r="H103" s="414">
        <f t="shared" ref="H103:H105" si="47">G103/C103*100</f>
        <v>8.91941657617777</v>
      </c>
      <c r="I103" s="339">
        <f t="shared" si="45"/>
        <v>1400.709759</v>
      </c>
      <c r="J103" s="307">
        <f t="shared" si="38"/>
        <v>-42.5852550000002</v>
      </c>
      <c r="K103" s="306">
        <f t="shared" ref="K103:K105" si="48">J103/D103*100</f>
        <v>-2.9505578961281</v>
      </c>
      <c r="M103">
        <f t="shared" si="44"/>
        <v>0</v>
      </c>
      <c r="N103" s="415"/>
      <c r="O103" s="415"/>
    </row>
    <row r="104" customFormat="1" ht="20" customHeight="1" spans="1:15">
      <c r="A104" s="418">
        <v>2011101</v>
      </c>
      <c r="B104" s="419" t="s">
        <v>165</v>
      </c>
      <c r="C104" s="307">
        <v>1214.385421</v>
      </c>
      <c r="D104" s="425">
        <v>1228.620864</v>
      </c>
      <c r="E104" s="423">
        <v>1264</v>
      </c>
      <c r="F104" s="414">
        <f t="shared" si="46"/>
        <v>102.879581247287</v>
      </c>
      <c r="G104" s="346">
        <f t="shared" si="37"/>
        <v>49.614579</v>
      </c>
      <c r="H104" s="414">
        <f t="shared" si="47"/>
        <v>4.0855710338769</v>
      </c>
      <c r="I104" s="420">
        <v>1187.23182</v>
      </c>
      <c r="J104" s="307">
        <f t="shared" si="38"/>
        <v>-41.389044</v>
      </c>
      <c r="K104" s="306">
        <f t="shared" si="48"/>
        <v>-3.3687401225835</v>
      </c>
      <c r="M104">
        <f t="shared" si="44"/>
        <v>1195</v>
      </c>
      <c r="N104" s="415">
        <v>1195</v>
      </c>
      <c r="O104" s="415"/>
    </row>
    <row r="105" customFormat="1" ht="20" customHeight="1" spans="1:15">
      <c r="A105" s="418">
        <v>2011102</v>
      </c>
      <c r="B105" s="419" t="s">
        <v>166</v>
      </c>
      <c r="C105" s="307">
        <v>174.322801</v>
      </c>
      <c r="D105" s="425">
        <v>214.67415</v>
      </c>
      <c r="E105" s="423">
        <v>224</v>
      </c>
      <c r="F105" s="414">
        <f t="shared" si="46"/>
        <v>104.344188622617</v>
      </c>
      <c r="G105" s="346">
        <f t="shared" si="37"/>
        <v>49.677199</v>
      </c>
      <c r="H105" s="414">
        <f t="shared" si="47"/>
        <v>28.4972468977251</v>
      </c>
      <c r="I105" s="420">
        <v>193.477939</v>
      </c>
      <c r="J105" s="307">
        <f t="shared" si="38"/>
        <v>-21.196211</v>
      </c>
      <c r="K105" s="306">
        <f t="shared" si="48"/>
        <v>-9.87366713691425</v>
      </c>
      <c r="M105">
        <f t="shared" si="44"/>
        <v>210</v>
      </c>
      <c r="N105" s="415">
        <v>210</v>
      </c>
      <c r="O105" s="415"/>
    </row>
    <row r="106" customFormat="1" ht="20" customHeight="1" spans="1:15">
      <c r="A106" s="418">
        <v>2011103</v>
      </c>
      <c r="B106" s="419" t="s">
        <v>167</v>
      </c>
      <c r="C106" s="307">
        <v>0</v>
      </c>
      <c r="D106" s="343"/>
      <c r="E106" s="423"/>
      <c r="F106" s="414"/>
      <c r="G106" s="346">
        <f t="shared" si="37"/>
        <v>0</v>
      </c>
      <c r="H106" s="414"/>
      <c r="I106" s="343"/>
      <c r="J106" s="307">
        <f t="shared" si="38"/>
        <v>0</v>
      </c>
      <c r="K106" s="306"/>
      <c r="M106">
        <f t="shared" si="44"/>
        <v>0</v>
      </c>
      <c r="N106" s="415"/>
      <c r="O106" s="415"/>
    </row>
    <row r="107" customFormat="1" ht="20" customHeight="1" spans="1:15">
      <c r="A107" s="418">
        <v>2011104</v>
      </c>
      <c r="B107" s="421" t="s">
        <v>227</v>
      </c>
      <c r="C107" s="343">
        <v>0</v>
      </c>
      <c r="D107" s="343"/>
      <c r="E107" s="423">
        <v>42</v>
      </c>
      <c r="F107" s="414"/>
      <c r="G107" s="346">
        <f t="shared" si="37"/>
        <v>42</v>
      </c>
      <c r="H107" s="414"/>
      <c r="I107" s="343">
        <v>20</v>
      </c>
      <c r="J107" s="307">
        <f t="shared" si="38"/>
        <v>20</v>
      </c>
      <c r="K107" s="306"/>
      <c r="M107">
        <f t="shared" si="44"/>
        <v>0</v>
      </c>
      <c r="N107" s="415"/>
      <c r="O107" s="415"/>
    </row>
    <row r="108" customFormat="1" ht="20" customHeight="1" spans="1:15">
      <c r="A108" s="418">
        <v>2011105</v>
      </c>
      <c r="B108" s="421" t="s">
        <v>228</v>
      </c>
      <c r="C108" s="307">
        <v>0</v>
      </c>
      <c r="D108" s="343"/>
      <c r="E108" s="423"/>
      <c r="F108" s="414"/>
      <c r="G108" s="346">
        <f t="shared" si="37"/>
        <v>0</v>
      </c>
      <c r="H108" s="414"/>
      <c r="I108" s="343"/>
      <c r="J108" s="307">
        <f t="shared" si="38"/>
        <v>0</v>
      </c>
      <c r="K108" s="306"/>
      <c r="M108">
        <f t="shared" si="44"/>
        <v>0</v>
      </c>
      <c r="N108" s="415"/>
      <c r="O108" s="415"/>
    </row>
    <row r="109" customFormat="1" ht="20" customHeight="1" spans="1:15">
      <c r="A109" s="418">
        <v>2011106</v>
      </c>
      <c r="B109" s="421" t="s">
        <v>229</v>
      </c>
      <c r="C109" s="307">
        <v>0</v>
      </c>
      <c r="D109" s="343"/>
      <c r="E109" s="423"/>
      <c r="F109" s="414"/>
      <c r="G109" s="346">
        <f t="shared" si="37"/>
        <v>0</v>
      </c>
      <c r="H109" s="414"/>
      <c r="I109" s="343"/>
      <c r="J109" s="307">
        <f t="shared" si="38"/>
        <v>0</v>
      </c>
      <c r="K109" s="306"/>
      <c r="M109">
        <f t="shared" si="44"/>
        <v>0</v>
      </c>
      <c r="N109" s="415"/>
      <c r="O109" s="415"/>
    </row>
    <row r="110" customFormat="1" ht="20" customHeight="1" spans="1:15">
      <c r="A110" s="418">
        <v>2011150</v>
      </c>
      <c r="B110" s="419" t="s">
        <v>174</v>
      </c>
      <c r="C110" s="307">
        <v>0</v>
      </c>
      <c r="D110" s="343"/>
      <c r="E110" s="423"/>
      <c r="F110" s="414"/>
      <c r="G110" s="346">
        <f t="shared" si="37"/>
        <v>0</v>
      </c>
      <c r="H110" s="414"/>
      <c r="I110" s="343"/>
      <c r="J110" s="307">
        <f t="shared" si="38"/>
        <v>0</v>
      </c>
      <c r="K110" s="306"/>
      <c r="M110">
        <f t="shared" si="44"/>
        <v>0</v>
      </c>
      <c r="N110" s="415"/>
      <c r="O110" s="415"/>
    </row>
    <row r="111" customFormat="1" ht="20" customHeight="1" spans="1:15">
      <c r="A111" s="418">
        <v>2011199</v>
      </c>
      <c r="B111" s="419" t="s">
        <v>230</v>
      </c>
      <c r="C111" s="307">
        <v>16</v>
      </c>
      <c r="D111" s="343"/>
      <c r="E111" s="423"/>
      <c r="F111" s="414"/>
      <c r="G111" s="346">
        <f t="shared" si="37"/>
        <v>-16</v>
      </c>
      <c r="H111" s="414">
        <f>G111/C111*100</f>
        <v>-100</v>
      </c>
      <c r="I111" s="343"/>
      <c r="J111" s="307">
        <f t="shared" si="38"/>
        <v>0</v>
      </c>
      <c r="K111" s="306"/>
      <c r="M111">
        <f t="shared" si="44"/>
        <v>0</v>
      </c>
      <c r="N111" s="415"/>
      <c r="O111" s="415"/>
    </row>
    <row r="112" customFormat="1" ht="20" customHeight="1" spans="1:15">
      <c r="A112" s="416">
        <v>20113</v>
      </c>
      <c r="B112" s="427" t="s">
        <v>231</v>
      </c>
      <c r="C112" s="339"/>
      <c r="D112" s="339"/>
      <c r="E112" s="339">
        <v>0</v>
      </c>
      <c r="F112" s="414"/>
      <c r="G112" s="346">
        <f t="shared" si="37"/>
        <v>0</v>
      </c>
      <c r="H112" s="414"/>
      <c r="I112" s="339">
        <f>SUM(I113:I122)</f>
        <v>21.703308</v>
      </c>
      <c r="J112" s="307">
        <f t="shared" si="38"/>
        <v>21.703308</v>
      </c>
      <c r="K112" s="306"/>
      <c r="M112">
        <f t="shared" si="44"/>
        <v>0</v>
      </c>
      <c r="N112" s="415"/>
      <c r="O112" s="415"/>
    </row>
    <row r="113" customFormat="1" ht="20" customHeight="1" spans="1:15">
      <c r="A113" s="418">
        <v>2011301</v>
      </c>
      <c r="B113" s="419" t="s">
        <v>165</v>
      </c>
      <c r="C113" s="307"/>
      <c r="D113" s="343"/>
      <c r="E113" s="307">
        <v>0</v>
      </c>
      <c r="F113" s="414"/>
      <c r="G113" s="346">
        <f t="shared" si="37"/>
        <v>0</v>
      </c>
      <c r="H113" s="414"/>
      <c r="I113" s="420">
        <v>21.703308</v>
      </c>
      <c r="J113" s="307">
        <f t="shared" si="38"/>
        <v>21.703308</v>
      </c>
      <c r="K113" s="306"/>
      <c r="M113">
        <f t="shared" si="44"/>
        <v>0</v>
      </c>
      <c r="N113" s="415"/>
      <c r="O113" s="415"/>
    </row>
    <row r="114" customFormat="1" ht="20" customHeight="1" spans="1:15">
      <c r="A114" s="418">
        <v>2011302</v>
      </c>
      <c r="B114" s="419" t="s">
        <v>166</v>
      </c>
      <c r="C114" s="307"/>
      <c r="D114" s="343"/>
      <c r="E114" s="307">
        <v>0</v>
      </c>
      <c r="F114" s="414"/>
      <c r="G114" s="346">
        <f t="shared" si="37"/>
        <v>0</v>
      </c>
      <c r="H114" s="414"/>
      <c r="I114" s="343"/>
      <c r="J114" s="307">
        <f t="shared" si="38"/>
        <v>0</v>
      </c>
      <c r="K114" s="306"/>
      <c r="M114">
        <f t="shared" si="44"/>
        <v>0</v>
      </c>
      <c r="N114" s="415"/>
      <c r="O114" s="415"/>
    </row>
    <row r="115" customFormat="1" ht="20" customHeight="1" spans="1:15">
      <c r="A115" s="418">
        <v>2011303</v>
      </c>
      <c r="B115" s="419" t="s">
        <v>167</v>
      </c>
      <c r="C115" s="307"/>
      <c r="D115" s="343"/>
      <c r="E115" s="307">
        <v>0</v>
      </c>
      <c r="F115" s="414"/>
      <c r="G115" s="346">
        <f t="shared" si="37"/>
        <v>0</v>
      </c>
      <c r="H115" s="414"/>
      <c r="I115" s="343"/>
      <c r="J115" s="307">
        <f t="shared" si="38"/>
        <v>0</v>
      </c>
      <c r="K115" s="306"/>
      <c r="M115">
        <f t="shared" si="44"/>
        <v>0</v>
      </c>
      <c r="N115" s="415"/>
      <c r="O115" s="415"/>
    </row>
    <row r="116" customFormat="1" ht="20" customHeight="1" spans="1:15">
      <c r="A116" s="418">
        <v>2011304</v>
      </c>
      <c r="B116" s="421" t="s">
        <v>232</v>
      </c>
      <c r="C116" s="307"/>
      <c r="D116" s="343"/>
      <c r="E116" s="307">
        <v>0</v>
      </c>
      <c r="F116" s="414"/>
      <c r="G116" s="346">
        <f t="shared" si="37"/>
        <v>0</v>
      </c>
      <c r="H116" s="414"/>
      <c r="I116" s="343"/>
      <c r="J116" s="307">
        <f t="shared" si="38"/>
        <v>0</v>
      </c>
      <c r="K116" s="306"/>
      <c r="M116">
        <f t="shared" si="44"/>
        <v>0</v>
      </c>
      <c r="N116" s="415"/>
      <c r="O116" s="415"/>
    </row>
    <row r="117" customFormat="1" ht="20" customHeight="1" spans="1:15">
      <c r="A117" s="418">
        <v>2011305</v>
      </c>
      <c r="B117" s="421" t="s">
        <v>233</v>
      </c>
      <c r="C117" s="307"/>
      <c r="D117" s="343"/>
      <c r="E117" s="307">
        <v>0</v>
      </c>
      <c r="F117" s="414"/>
      <c r="G117" s="346">
        <f t="shared" si="37"/>
        <v>0</v>
      </c>
      <c r="H117" s="414"/>
      <c r="I117" s="343"/>
      <c r="J117" s="307">
        <f t="shared" si="38"/>
        <v>0</v>
      </c>
      <c r="K117" s="306"/>
      <c r="M117">
        <f t="shared" si="44"/>
        <v>0</v>
      </c>
      <c r="N117" s="415"/>
      <c r="O117" s="415"/>
    </row>
    <row r="118" customFormat="1" ht="20" customHeight="1" spans="1:15">
      <c r="A118" s="418">
        <v>2011306</v>
      </c>
      <c r="B118" s="421" t="s">
        <v>234</v>
      </c>
      <c r="C118" s="307"/>
      <c r="D118" s="343"/>
      <c r="E118" s="307">
        <v>0</v>
      </c>
      <c r="F118" s="414"/>
      <c r="G118" s="346">
        <f t="shared" si="37"/>
        <v>0</v>
      </c>
      <c r="H118" s="414"/>
      <c r="I118" s="343"/>
      <c r="J118" s="307">
        <f t="shared" si="38"/>
        <v>0</v>
      </c>
      <c r="K118" s="306"/>
      <c r="M118">
        <f t="shared" si="44"/>
        <v>0</v>
      </c>
      <c r="N118" s="415"/>
      <c r="O118" s="415"/>
    </row>
    <row r="119" customFormat="1" ht="20" customHeight="1" spans="1:15">
      <c r="A119" s="418">
        <v>2011307</v>
      </c>
      <c r="B119" s="419" t="s">
        <v>235</v>
      </c>
      <c r="C119" s="307"/>
      <c r="D119" s="343"/>
      <c r="E119" s="307">
        <v>0</v>
      </c>
      <c r="F119" s="414"/>
      <c r="G119" s="346">
        <f t="shared" si="37"/>
        <v>0</v>
      </c>
      <c r="H119" s="414"/>
      <c r="I119" s="343"/>
      <c r="J119" s="307">
        <f t="shared" si="38"/>
        <v>0</v>
      </c>
      <c r="K119" s="306"/>
      <c r="M119">
        <f t="shared" si="44"/>
        <v>0</v>
      </c>
      <c r="N119" s="415"/>
      <c r="O119" s="415"/>
    </row>
    <row r="120" customFormat="1" ht="20" customHeight="1" spans="1:15">
      <c r="A120" s="418">
        <v>2011308</v>
      </c>
      <c r="B120" s="419" t="s">
        <v>236</v>
      </c>
      <c r="C120" s="307"/>
      <c r="D120" s="343"/>
      <c r="E120" s="307">
        <v>0</v>
      </c>
      <c r="F120" s="414"/>
      <c r="G120" s="346">
        <f t="shared" si="37"/>
        <v>0</v>
      </c>
      <c r="H120" s="414"/>
      <c r="I120" s="343"/>
      <c r="J120" s="307">
        <f t="shared" si="38"/>
        <v>0</v>
      </c>
      <c r="K120" s="306"/>
      <c r="M120">
        <f t="shared" si="44"/>
        <v>0</v>
      </c>
      <c r="N120" s="415"/>
      <c r="O120" s="415"/>
    </row>
    <row r="121" customFormat="1" ht="20" customHeight="1" spans="1:15">
      <c r="A121" s="418">
        <v>2011350</v>
      </c>
      <c r="B121" s="419" t="s">
        <v>174</v>
      </c>
      <c r="C121" s="307"/>
      <c r="D121" s="343"/>
      <c r="E121" s="307">
        <v>0</v>
      </c>
      <c r="F121" s="414"/>
      <c r="G121" s="346">
        <f t="shared" si="37"/>
        <v>0</v>
      </c>
      <c r="H121" s="414"/>
      <c r="I121" s="343"/>
      <c r="J121" s="307">
        <f t="shared" si="38"/>
        <v>0</v>
      </c>
      <c r="K121" s="306"/>
      <c r="M121">
        <f t="shared" si="44"/>
        <v>0</v>
      </c>
      <c r="N121" s="415"/>
      <c r="O121" s="415"/>
    </row>
    <row r="122" customFormat="1" ht="20" customHeight="1" spans="1:15">
      <c r="A122" s="418">
        <v>2011399</v>
      </c>
      <c r="B122" s="421" t="s">
        <v>237</v>
      </c>
      <c r="C122" s="307"/>
      <c r="D122" s="343"/>
      <c r="E122" s="307">
        <v>0</v>
      </c>
      <c r="F122" s="414"/>
      <c r="G122" s="346">
        <f t="shared" si="37"/>
        <v>0</v>
      </c>
      <c r="H122" s="414"/>
      <c r="I122" s="343"/>
      <c r="J122" s="307">
        <f t="shared" si="38"/>
        <v>0</v>
      </c>
      <c r="K122" s="306"/>
      <c r="M122">
        <f t="shared" si="44"/>
        <v>0</v>
      </c>
      <c r="N122" s="415"/>
      <c r="O122" s="415"/>
    </row>
    <row r="123" customFormat="1" ht="20" customHeight="1" spans="1:15">
      <c r="A123" s="416">
        <v>20114</v>
      </c>
      <c r="B123" s="426" t="s">
        <v>238</v>
      </c>
      <c r="C123" s="339"/>
      <c r="D123" s="339"/>
      <c r="E123" s="339">
        <v>0</v>
      </c>
      <c r="F123" s="414"/>
      <c r="G123" s="346">
        <f t="shared" si="37"/>
        <v>0</v>
      </c>
      <c r="H123" s="414"/>
      <c r="I123" s="339"/>
      <c r="J123" s="307">
        <f t="shared" si="38"/>
        <v>0</v>
      </c>
      <c r="K123" s="306"/>
      <c r="M123">
        <f t="shared" si="44"/>
        <v>0</v>
      </c>
      <c r="N123" s="415"/>
      <c r="O123" s="415"/>
    </row>
    <row r="124" customFormat="1" ht="20" customHeight="1" spans="1:15">
      <c r="A124" s="418">
        <v>2011401</v>
      </c>
      <c r="B124" s="421" t="s">
        <v>165</v>
      </c>
      <c r="C124" s="307"/>
      <c r="D124" s="343"/>
      <c r="E124" s="343">
        <v>0</v>
      </c>
      <c r="F124" s="414"/>
      <c r="G124" s="346">
        <f t="shared" si="37"/>
        <v>0</v>
      </c>
      <c r="H124" s="414"/>
      <c r="I124" s="343"/>
      <c r="J124" s="307">
        <f t="shared" si="38"/>
        <v>0</v>
      </c>
      <c r="K124" s="306"/>
      <c r="M124">
        <f t="shared" si="44"/>
        <v>0</v>
      </c>
      <c r="N124" s="415"/>
      <c r="O124" s="415"/>
    </row>
    <row r="125" customFormat="1" ht="20" customHeight="1" spans="1:15">
      <c r="A125" s="418">
        <v>2011402</v>
      </c>
      <c r="B125" s="422" t="s">
        <v>166</v>
      </c>
      <c r="C125" s="307"/>
      <c r="D125" s="343"/>
      <c r="E125" s="343">
        <v>0</v>
      </c>
      <c r="F125" s="414"/>
      <c r="G125" s="346">
        <f t="shared" si="37"/>
        <v>0</v>
      </c>
      <c r="H125" s="414"/>
      <c r="I125" s="343"/>
      <c r="J125" s="307">
        <f t="shared" si="38"/>
        <v>0</v>
      </c>
      <c r="K125" s="306"/>
      <c r="M125">
        <f t="shared" si="44"/>
        <v>0</v>
      </c>
      <c r="N125" s="415"/>
      <c r="O125" s="415"/>
    </row>
    <row r="126" customFormat="1" ht="20" customHeight="1" spans="1:15">
      <c r="A126" s="418">
        <v>2011403</v>
      </c>
      <c r="B126" s="419" t="s">
        <v>167</v>
      </c>
      <c r="C126" s="307"/>
      <c r="D126" s="343"/>
      <c r="E126" s="343">
        <v>0</v>
      </c>
      <c r="F126" s="414"/>
      <c r="G126" s="346">
        <f t="shared" si="37"/>
        <v>0</v>
      </c>
      <c r="H126" s="414"/>
      <c r="I126" s="343"/>
      <c r="J126" s="307">
        <f t="shared" si="38"/>
        <v>0</v>
      </c>
      <c r="K126" s="306"/>
      <c r="M126">
        <f t="shared" si="44"/>
        <v>0</v>
      </c>
      <c r="N126" s="415"/>
      <c r="O126" s="415"/>
    </row>
    <row r="127" customFormat="1" ht="20" customHeight="1" spans="1:15">
      <c r="A127" s="418">
        <v>2011404</v>
      </c>
      <c r="B127" s="419" t="s">
        <v>239</v>
      </c>
      <c r="C127" s="307"/>
      <c r="D127" s="343"/>
      <c r="E127" s="343">
        <v>0</v>
      </c>
      <c r="F127" s="414"/>
      <c r="G127" s="346">
        <f t="shared" si="37"/>
        <v>0</v>
      </c>
      <c r="H127" s="414"/>
      <c r="I127" s="343"/>
      <c r="J127" s="307">
        <f t="shared" si="38"/>
        <v>0</v>
      </c>
      <c r="K127" s="306"/>
      <c r="M127">
        <f t="shared" si="44"/>
        <v>0</v>
      </c>
      <c r="N127" s="415"/>
      <c r="O127" s="415"/>
    </row>
    <row r="128" customFormat="1" ht="20" customHeight="1" spans="1:15">
      <c r="A128" s="418">
        <v>2011405</v>
      </c>
      <c r="B128" s="419" t="s">
        <v>240</v>
      </c>
      <c r="C128" s="307"/>
      <c r="D128" s="343"/>
      <c r="E128" s="343">
        <v>0</v>
      </c>
      <c r="F128" s="414"/>
      <c r="G128" s="346">
        <f t="shared" si="37"/>
        <v>0</v>
      </c>
      <c r="H128" s="414"/>
      <c r="I128" s="343"/>
      <c r="J128" s="307">
        <f t="shared" si="38"/>
        <v>0</v>
      </c>
      <c r="K128" s="306"/>
      <c r="M128">
        <f t="shared" si="44"/>
        <v>0</v>
      </c>
      <c r="N128" s="415"/>
      <c r="O128" s="415"/>
    </row>
    <row r="129" customFormat="1" ht="20" customHeight="1" spans="1:15">
      <c r="A129" s="418">
        <v>2011408</v>
      </c>
      <c r="B129" s="421" t="s">
        <v>241</v>
      </c>
      <c r="C129" s="307"/>
      <c r="D129" s="343"/>
      <c r="E129" s="343">
        <v>0</v>
      </c>
      <c r="F129" s="414"/>
      <c r="G129" s="346">
        <f t="shared" si="37"/>
        <v>0</v>
      </c>
      <c r="H129" s="414"/>
      <c r="I129" s="343"/>
      <c r="J129" s="307">
        <f t="shared" si="38"/>
        <v>0</v>
      </c>
      <c r="K129" s="306"/>
      <c r="M129">
        <f t="shared" si="44"/>
        <v>0</v>
      </c>
      <c r="N129" s="415"/>
      <c r="O129" s="415"/>
    </row>
    <row r="130" customFormat="1" ht="20" customHeight="1" spans="1:15">
      <c r="A130" s="418">
        <v>2011409</v>
      </c>
      <c r="B130" s="419" t="s">
        <v>242</v>
      </c>
      <c r="C130" s="307"/>
      <c r="D130" s="343"/>
      <c r="E130" s="343">
        <v>0</v>
      </c>
      <c r="F130" s="414"/>
      <c r="G130" s="346">
        <f t="shared" si="37"/>
        <v>0</v>
      </c>
      <c r="H130" s="414"/>
      <c r="I130" s="343"/>
      <c r="J130" s="307">
        <f t="shared" si="38"/>
        <v>0</v>
      </c>
      <c r="K130" s="306"/>
      <c r="M130">
        <f t="shared" si="44"/>
        <v>0</v>
      </c>
      <c r="N130" s="415"/>
      <c r="O130" s="415"/>
    </row>
    <row r="131" customFormat="1" ht="20" customHeight="1" spans="1:15">
      <c r="A131" s="418">
        <v>2011410</v>
      </c>
      <c r="B131" s="421" t="s">
        <v>243</v>
      </c>
      <c r="C131" s="307"/>
      <c r="D131" s="343"/>
      <c r="E131" s="343">
        <v>0</v>
      </c>
      <c r="F131" s="414"/>
      <c r="G131" s="346">
        <f t="shared" si="37"/>
        <v>0</v>
      </c>
      <c r="H131" s="414"/>
      <c r="I131" s="343"/>
      <c r="J131" s="307">
        <f t="shared" si="38"/>
        <v>0</v>
      </c>
      <c r="K131" s="306"/>
      <c r="M131">
        <f t="shared" si="44"/>
        <v>0</v>
      </c>
      <c r="N131" s="415"/>
      <c r="O131" s="415"/>
    </row>
    <row r="132" customFormat="1" ht="20" customHeight="1" spans="1:15">
      <c r="A132" s="418">
        <v>2011411</v>
      </c>
      <c r="B132" s="419" t="s">
        <v>244</v>
      </c>
      <c r="C132" s="307"/>
      <c r="D132" s="343"/>
      <c r="E132" s="343">
        <v>0</v>
      </c>
      <c r="F132" s="414"/>
      <c r="G132" s="346">
        <f t="shared" si="37"/>
        <v>0</v>
      </c>
      <c r="H132" s="414"/>
      <c r="I132" s="343"/>
      <c r="J132" s="307">
        <f t="shared" si="38"/>
        <v>0</v>
      </c>
      <c r="K132" s="306"/>
      <c r="M132">
        <f t="shared" si="44"/>
        <v>0</v>
      </c>
      <c r="N132" s="415"/>
      <c r="O132" s="415"/>
    </row>
    <row r="133" customFormat="1" ht="20" customHeight="1" spans="1:15">
      <c r="A133" s="418">
        <v>2011450</v>
      </c>
      <c r="B133" s="419" t="s">
        <v>174</v>
      </c>
      <c r="C133" s="307"/>
      <c r="D133" s="343"/>
      <c r="E133" s="343">
        <v>0</v>
      </c>
      <c r="F133" s="414"/>
      <c r="G133" s="346">
        <f t="shared" si="37"/>
        <v>0</v>
      </c>
      <c r="H133" s="414"/>
      <c r="I133" s="343"/>
      <c r="J133" s="307">
        <f t="shared" si="38"/>
        <v>0</v>
      </c>
      <c r="K133" s="306"/>
      <c r="M133">
        <f t="shared" si="44"/>
        <v>0</v>
      </c>
      <c r="N133" s="415"/>
      <c r="O133" s="415"/>
    </row>
    <row r="134" customFormat="1" ht="20" customHeight="1" spans="1:15">
      <c r="A134" s="418">
        <v>2011499</v>
      </c>
      <c r="B134" s="419" t="s">
        <v>245</v>
      </c>
      <c r="C134" s="307"/>
      <c r="D134" s="343"/>
      <c r="E134" s="343">
        <v>0</v>
      </c>
      <c r="F134" s="414"/>
      <c r="G134" s="346">
        <f t="shared" ref="G134:G197" si="49">E134-C134</f>
        <v>0</v>
      </c>
      <c r="H134" s="414"/>
      <c r="I134" s="343"/>
      <c r="J134" s="307">
        <f t="shared" ref="J134:J197" si="50">I134-D134</f>
        <v>0</v>
      </c>
      <c r="K134" s="306"/>
      <c r="M134">
        <f t="shared" si="44"/>
        <v>0</v>
      </c>
      <c r="N134" s="415"/>
      <c r="O134" s="415"/>
    </row>
    <row r="135" customFormat="1" ht="20" customHeight="1" spans="1:15">
      <c r="A135" s="416">
        <v>20123</v>
      </c>
      <c r="B135" s="417" t="s">
        <v>246</v>
      </c>
      <c r="C135" s="347">
        <f>SUM(C136:C141)</f>
        <v>0</v>
      </c>
      <c r="D135" s="347">
        <f t="shared" ref="D135:I135" si="51">SUM(D136:D141)</f>
        <v>0</v>
      </c>
      <c r="E135" s="347">
        <f t="shared" si="51"/>
        <v>3</v>
      </c>
      <c r="F135" s="414"/>
      <c r="G135" s="346">
        <f t="shared" si="49"/>
        <v>3</v>
      </c>
      <c r="H135" s="414"/>
      <c r="I135" s="347">
        <f t="shared" si="51"/>
        <v>0</v>
      </c>
      <c r="J135" s="307">
        <f t="shared" si="50"/>
        <v>0</v>
      </c>
      <c r="K135" s="306"/>
      <c r="M135">
        <f t="shared" si="44"/>
        <v>0</v>
      </c>
      <c r="N135" s="415"/>
      <c r="O135" s="415"/>
    </row>
    <row r="136" customFormat="1" ht="20" customHeight="1" spans="1:15">
      <c r="A136" s="418">
        <v>2012301</v>
      </c>
      <c r="B136" s="419" t="s">
        <v>165</v>
      </c>
      <c r="C136" s="307">
        <v>0</v>
      </c>
      <c r="D136" s="343"/>
      <c r="E136" s="307"/>
      <c r="F136" s="414"/>
      <c r="G136" s="346">
        <f t="shared" si="49"/>
        <v>0</v>
      </c>
      <c r="H136" s="414"/>
      <c r="I136" s="343"/>
      <c r="J136" s="307">
        <f t="shared" si="50"/>
        <v>0</v>
      </c>
      <c r="K136" s="306"/>
      <c r="M136">
        <f t="shared" si="44"/>
        <v>0</v>
      </c>
      <c r="N136" s="415"/>
      <c r="O136" s="415"/>
    </row>
    <row r="137" customFormat="1" ht="20" customHeight="1" spans="1:15">
      <c r="A137" s="418">
        <v>2012302</v>
      </c>
      <c r="B137" s="419" t="s">
        <v>166</v>
      </c>
      <c r="C137" s="307">
        <v>0</v>
      </c>
      <c r="D137" s="343"/>
      <c r="E137" s="307"/>
      <c r="F137" s="414"/>
      <c r="G137" s="346">
        <f t="shared" si="49"/>
        <v>0</v>
      </c>
      <c r="H137" s="414"/>
      <c r="I137" s="343"/>
      <c r="J137" s="307">
        <f t="shared" si="50"/>
        <v>0</v>
      </c>
      <c r="K137" s="306"/>
      <c r="M137">
        <f t="shared" si="44"/>
        <v>0</v>
      </c>
      <c r="N137" s="415"/>
      <c r="O137" s="415"/>
    </row>
    <row r="138" customFormat="1" ht="20" customHeight="1" spans="1:15">
      <c r="A138" s="418">
        <v>2012303</v>
      </c>
      <c r="B138" s="421" t="s">
        <v>167</v>
      </c>
      <c r="C138" s="307">
        <v>0</v>
      </c>
      <c r="D138" s="343"/>
      <c r="E138" s="307"/>
      <c r="F138" s="414"/>
      <c r="G138" s="346">
        <f t="shared" si="49"/>
        <v>0</v>
      </c>
      <c r="H138" s="414"/>
      <c r="I138" s="343"/>
      <c r="J138" s="307">
        <f t="shared" si="50"/>
        <v>0</v>
      </c>
      <c r="K138" s="306"/>
      <c r="M138">
        <f t="shared" si="44"/>
        <v>0</v>
      </c>
      <c r="N138" s="415"/>
      <c r="O138" s="415"/>
    </row>
    <row r="139" customFormat="1" ht="20" customHeight="1" spans="1:15">
      <c r="A139" s="418">
        <v>2012304</v>
      </c>
      <c r="B139" s="421" t="s">
        <v>247</v>
      </c>
      <c r="C139" s="307">
        <v>0</v>
      </c>
      <c r="D139" s="343"/>
      <c r="E139" s="307"/>
      <c r="F139" s="414"/>
      <c r="G139" s="346">
        <f t="shared" si="49"/>
        <v>0</v>
      </c>
      <c r="H139" s="414"/>
      <c r="I139" s="343"/>
      <c r="J139" s="307">
        <f t="shared" si="50"/>
        <v>0</v>
      </c>
      <c r="K139" s="306"/>
      <c r="M139">
        <f t="shared" si="44"/>
        <v>0</v>
      </c>
      <c r="N139" s="415"/>
      <c r="O139" s="415"/>
    </row>
    <row r="140" customFormat="1" ht="20" customHeight="1" spans="1:15">
      <c r="A140" s="418">
        <v>2012350</v>
      </c>
      <c r="B140" s="421" t="s">
        <v>174</v>
      </c>
      <c r="C140" s="307">
        <v>0</v>
      </c>
      <c r="D140" s="343"/>
      <c r="E140" s="307"/>
      <c r="F140" s="414"/>
      <c r="G140" s="346">
        <f t="shared" si="49"/>
        <v>0</v>
      </c>
      <c r="H140" s="414"/>
      <c r="I140" s="343"/>
      <c r="J140" s="307">
        <f t="shared" si="50"/>
        <v>0</v>
      </c>
      <c r="K140" s="306"/>
      <c r="M140">
        <f t="shared" si="44"/>
        <v>0</v>
      </c>
      <c r="N140" s="415"/>
      <c r="O140" s="415"/>
    </row>
    <row r="141" customFormat="1" ht="20" customHeight="1" spans="1:15">
      <c r="A141" s="418">
        <v>2012399</v>
      </c>
      <c r="B141" s="422" t="s">
        <v>248</v>
      </c>
      <c r="C141" s="307">
        <v>0</v>
      </c>
      <c r="D141" s="343"/>
      <c r="E141" s="307">
        <v>3</v>
      </c>
      <c r="F141" s="414"/>
      <c r="G141" s="346">
        <f t="shared" si="49"/>
        <v>3</v>
      </c>
      <c r="H141" s="414"/>
      <c r="I141" s="343"/>
      <c r="J141" s="307">
        <f t="shared" si="50"/>
        <v>0</v>
      </c>
      <c r="K141" s="306"/>
      <c r="M141">
        <f t="shared" si="44"/>
        <v>0</v>
      </c>
      <c r="N141" s="415"/>
      <c r="O141" s="415"/>
    </row>
    <row r="142" customFormat="1" ht="20" customHeight="1" spans="1:15">
      <c r="A142" s="416">
        <v>20125</v>
      </c>
      <c r="B142" s="417" t="s">
        <v>249</v>
      </c>
      <c r="C142" s="346">
        <f>SUM(C143:C149)</f>
        <v>44.297734</v>
      </c>
      <c r="D142" s="346">
        <f t="shared" ref="D142:I142" si="52">SUM(D143:D149)</f>
        <v>46.08056</v>
      </c>
      <c r="E142" s="346">
        <f t="shared" si="52"/>
        <v>47</v>
      </c>
      <c r="F142" s="414">
        <f>E142/D142*100</f>
        <v>101.995288251705</v>
      </c>
      <c r="G142" s="346">
        <f t="shared" si="49"/>
        <v>2.70226599999999</v>
      </c>
      <c r="H142" s="414">
        <f t="shared" ref="H142:H144" si="53">G142/C142*100</f>
        <v>6.10023528517281</v>
      </c>
      <c r="I142" s="346">
        <f t="shared" si="52"/>
        <v>45.553241</v>
      </c>
      <c r="J142" s="307">
        <f t="shared" si="50"/>
        <v>-0.527318999999999</v>
      </c>
      <c r="K142" s="306">
        <f>J142/D142*100</f>
        <v>-1.14434156182129</v>
      </c>
      <c r="M142">
        <f t="shared" si="44"/>
        <v>0</v>
      </c>
      <c r="N142" s="415"/>
      <c r="O142" s="415"/>
    </row>
    <row r="143" customFormat="1" ht="20" customHeight="1" spans="1:15">
      <c r="A143" s="418">
        <v>2012501</v>
      </c>
      <c r="B143" s="419" t="s">
        <v>165</v>
      </c>
      <c r="C143" s="307">
        <v>43.597734</v>
      </c>
      <c r="D143" s="425">
        <v>46.08056</v>
      </c>
      <c r="E143" s="423">
        <v>47</v>
      </c>
      <c r="F143" s="414">
        <f>E143/D143*100</f>
        <v>101.995288251705</v>
      </c>
      <c r="G143" s="346">
        <f t="shared" si="49"/>
        <v>3.402266</v>
      </c>
      <c r="H143" s="414">
        <f t="shared" si="53"/>
        <v>7.80376796647275</v>
      </c>
      <c r="I143" s="420">
        <v>45.553241</v>
      </c>
      <c r="J143" s="307">
        <f t="shared" si="50"/>
        <v>-0.527318999999999</v>
      </c>
      <c r="K143" s="306">
        <f>J143/D143*100</f>
        <v>-1.14434156182129</v>
      </c>
      <c r="M143">
        <f t="shared" si="44"/>
        <v>46</v>
      </c>
      <c r="N143" s="415">
        <v>46</v>
      </c>
      <c r="O143" s="415"/>
    </row>
    <row r="144" customFormat="1" ht="20" customHeight="1" spans="1:15">
      <c r="A144" s="418">
        <v>2012502</v>
      </c>
      <c r="B144" s="421" t="s">
        <v>166</v>
      </c>
      <c r="C144" s="307">
        <v>0.7</v>
      </c>
      <c r="D144" s="343"/>
      <c r="E144" s="307"/>
      <c r="F144" s="414"/>
      <c r="G144" s="346">
        <f t="shared" si="49"/>
        <v>-0.7</v>
      </c>
      <c r="H144" s="414">
        <f t="shared" si="53"/>
        <v>-100</v>
      </c>
      <c r="I144" s="343"/>
      <c r="J144" s="307">
        <f t="shared" si="50"/>
        <v>0</v>
      </c>
      <c r="K144" s="306"/>
      <c r="M144">
        <f t="shared" si="44"/>
        <v>0</v>
      </c>
      <c r="N144" s="415"/>
      <c r="O144" s="415"/>
    </row>
    <row r="145" customFormat="1" ht="20" customHeight="1" spans="1:15">
      <c r="A145" s="418">
        <v>2012503</v>
      </c>
      <c r="B145" s="421" t="s">
        <v>167</v>
      </c>
      <c r="C145" s="307">
        <v>0</v>
      </c>
      <c r="D145" s="343"/>
      <c r="E145" s="307"/>
      <c r="F145" s="414"/>
      <c r="G145" s="346">
        <f t="shared" si="49"/>
        <v>0</v>
      </c>
      <c r="H145" s="414"/>
      <c r="I145" s="343"/>
      <c r="J145" s="307">
        <f t="shared" si="50"/>
        <v>0</v>
      </c>
      <c r="K145" s="306"/>
      <c r="M145">
        <f t="shared" si="44"/>
        <v>0</v>
      </c>
      <c r="N145" s="415"/>
      <c r="O145" s="415"/>
    </row>
    <row r="146" customFormat="1" ht="20" customHeight="1" spans="1:15">
      <c r="A146" s="418">
        <v>2012504</v>
      </c>
      <c r="B146" s="421" t="s">
        <v>250</v>
      </c>
      <c r="C146" s="307">
        <v>0</v>
      </c>
      <c r="D146" s="343"/>
      <c r="E146" s="307"/>
      <c r="F146" s="414"/>
      <c r="G146" s="346">
        <f t="shared" si="49"/>
        <v>0</v>
      </c>
      <c r="H146" s="414"/>
      <c r="I146" s="343"/>
      <c r="J146" s="307">
        <f t="shared" si="50"/>
        <v>0</v>
      </c>
      <c r="K146" s="306"/>
      <c r="M146">
        <f t="shared" si="44"/>
        <v>0</v>
      </c>
      <c r="N146" s="415"/>
      <c r="O146" s="415"/>
    </row>
    <row r="147" customFormat="1" ht="20" customHeight="1" spans="1:15">
      <c r="A147" s="418">
        <v>2012505</v>
      </c>
      <c r="B147" s="422" t="s">
        <v>251</v>
      </c>
      <c r="C147" s="307">
        <v>0</v>
      </c>
      <c r="D147" s="343"/>
      <c r="E147" s="307"/>
      <c r="F147" s="414"/>
      <c r="G147" s="346">
        <f t="shared" si="49"/>
        <v>0</v>
      </c>
      <c r="H147" s="414"/>
      <c r="I147" s="343"/>
      <c r="J147" s="307">
        <f t="shared" si="50"/>
        <v>0</v>
      </c>
      <c r="K147" s="306"/>
      <c r="M147">
        <f t="shared" si="44"/>
        <v>0</v>
      </c>
      <c r="N147" s="415"/>
      <c r="O147" s="415"/>
    </row>
    <row r="148" customFormat="1" ht="20" customHeight="1" spans="1:15">
      <c r="A148" s="418">
        <v>2012550</v>
      </c>
      <c r="B148" s="419" t="s">
        <v>174</v>
      </c>
      <c r="C148" s="307">
        <v>0</v>
      </c>
      <c r="D148" s="343"/>
      <c r="E148" s="307"/>
      <c r="F148" s="414"/>
      <c r="G148" s="346">
        <f t="shared" si="49"/>
        <v>0</v>
      </c>
      <c r="H148" s="414"/>
      <c r="I148" s="343"/>
      <c r="J148" s="307">
        <f t="shared" si="50"/>
        <v>0</v>
      </c>
      <c r="K148" s="306"/>
      <c r="M148">
        <f t="shared" si="44"/>
        <v>0</v>
      </c>
      <c r="N148" s="415"/>
      <c r="O148" s="415"/>
    </row>
    <row r="149" customFormat="1" ht="20" customHeight="1" spans="1:15">
      <c r="A149" s="418">
        <v>2012599</v>
      </c>
      <c r="B149" s="419" t="s">
        <v>252</v>
      </c>
      <c r="C149" s="307">
        <v>0</v>
      </c>
      <c r="D149" s="343"/>
      <c r="E149" s="307"/>
      <c r="F149" s="414"/>
      <c r="G149" s="346">
        <f t="shared" si="49"/>
        <v>0</v>
      </c>
      <c r="H149" s="414"/>
      <c r="I149" s="343"/>
      <c r="J149" s="307">
        <f t="shared" si="50"/>
        <v>0</v>
      </c>
      <c r="K149" s="306"/>
      <c r="M149">
        <f t="shared" si="44"/>
        <v>0</v>
      </c>
      <c r="N149" s="415"/>
      <c r="O149" s="415"/>
    </row>
    <row r="150" customFormat="1" ht="20" customHeight="1" spans="1:15">
      <c r="A150" s="416">
        <v>20126</v>
      </c>
      <c r="B150" s="426" t="s">
        <v>253</v>
      </c>
      <c r="C150" s="428">
        <f>SUM(C151:C155)</f>
        <v>73.984884</v>
      </c>
      <c r="D150" s="428">
        <f t="shared" ref="D150:I150" si="54">SUM(D151:D155)</f>
        <v>84.350082</v>
      </c>
      <c r="E150" s="428">
        <f t="shared" si="54"/>
        <v>79</v>
      </c>
      <c r="F150" s="414">
        <f t="shared" ref="F150:F152" si="55">E150/D150*100</f>
        <v>93.6572889164471</v>
      </c>
      <c r="G150" s="346">
        <f t="shared" si="49"/>
        <v>5.01511599999999</v>
      </c>
      <c r="H150" s="414">
        <f t="shared" ref="H150:H152" si="56">G150/C150*100</f>
        <v>6.77856844379183</v>
      </c>
      <c r="I150" s="428">
        <f t="shared" si="54"/>
        <v>75.315032</v>
      </c>
      <c r="J150" s="307">
        <f t="shared" si="50"/>
        <v>-9.03505</v>
      </c>
      <c r="K150" s="306">
        <f t="shared" ref="K150:K152" si="57">J150/D150*100</f>
        <v>-10.7113707370196</v>
      </c>
      <c r="M150">
        <f t="shared" si="44"/>
        <v>0</v>
      </c>
      <c r="N150" s="415"/>
      <c r="O150" s="415"/>
    </row>
    <row r="151" customFormat="1" ht="20" customHeight="1" spans="1:15">
      <c r="A151" s="418">
        <v>2012601</v>
      </c>
      <c r="B151" s="421" t="s">
        <v>165</v>
      </c>
      <c r="C151" s="307">
        <v>71.158985</v>
      </c>
      <c r="D151" s="425">
        <v>81.350082</v>
      </c>
      <c r="E151" s="423">
        <v>75</v>
      </c>
      <c r="F151" s="414">
        <f t="shared" si="55"/>
        <v>92.1941295646143</v>
      </c>
      <c r="G151" s="346">
        <f t="shared" si="49"/>
        <v>3.841015</v>
      </c>
      <c r="H151" s="414">
        <f t="shared" si="56"/>
        <v>5.39779340585029</v>
      </c>
      <c r="I151" s="420">
        <v>75.315032</v>
      </c>
      <c r="J151" s="307">
        <f t="shared" si="50"/>
        <v>-6.03505</v>
      </c>
      <c r="K151" s="306">
        <f t="shared" si="57"/>
        <v>-7.41861575505234</v>
      </c>
      <c r="M151">
        <f t="shared" si="44"/>
        <v>68</v>
      </c>
      <c r="N151" s="415">
        <v>68</v>
      </c>
      <c r="O151" s="415"/>
    </row>
    <row r="152" customFormat="1" ht="20" customHeight="1" spans="1:15">
      <c r="A152" s="418">
        <v>2012602</v>
      </c>
      <c r="B152" s="421" t="s">
        <v>166</v>
      </c>
      <c r="C152" s="307">
        <v>2.825899</v>
      </c>
      <c r="D152" s="425">
        <v>3</v>
      </c>
      <c r="E152" s="423">
        <v>4</v>
      </c>
      <c r="F152" s="414">
        <f t="shared" si="55"/>
        <v>133.333333333333</v>
      </c>
      <c r="G152" s="346">
        <f t="shared" si="49"/>
        <v>1.174101</v>
      </c>
      <c r="H152" s="414">
        <f t="shared" si="56"/>
        <v>41.5478755610161</v>
      </c>
      <c r="I152" s="425"/>
      <c r="J152" s="307">
        <f t="shared" si="50"/>
        <v>-3</v>
      </c>
      <c r="K152" s="306">
        <f t="shared" si="57"/>
        <v>-100</v>
      </c>
      <c r="M152">
        <f t="shared" si="44"/>
        <v>8</v>
      </c>
      <c r="N152" s="415">
        <v>8</v>
      </c>
      <c r="O152" s="415"/>
    </row>
    <row r="153" customFormat="1" ht="20" customHeight="1" spans="1:15">
      <c r="A153" s="418">
        <v>2012603</v>
      </c>
      <c r="B153" s="419" t="s">
        <v>167</v>
      </c>
      <c r="C153" s="307">
        <v>0</v>
      </c>
      <c r="D153" s="343"/>
      <c r="E153" s="423"/>
      <c r="F153" s="414"/>
      <c r="G153" s="346">
        <f t="shared" si="49"/>
        <v>0</v>
      </c>
      <c r="H153" s="414"/>
      <c r="I153" s="343"/>
      <c r="J153" s="307">
        <f t="shared" si="50"/>
        <v>0</v>
      </c>
      <c r="K153" s="306"/>
      <c r="M153">
        <f t="shared" si="44"/>
        <v>0</v>
      </c>
      <c r="N153" s="415"/>
      <c r="O153" s="415"/>
    </row>
    <row r="154" customFormat="1" ht="20" customHeight="1" spans="1:15">
      <c r="A154" s="418">
        <v>2012604</v>
      </c>
      <c r="B154" s="419" t="s">
        <v>254</v>
      </c>
      <c r="C154" s="307">
        <v>0</v>
      </c>
      <c r="D154" s="343"/>
      <c r="E154" s="423"/>
      <c r="F154" s="414"/>
      <c r="G154" s="346">
        <f t="shared" si="49"/>
        <v>0</v>
      </c>
      <c r="H154" s="414"/>
      <c r="I154" s="343"/>
      <c r="J154" s="307">
        <f t="shared" si="50"/>
        <v>0</v>
      </c>
      <c r="K154" s="306"/>
      <c r="M154">
        <f t="shared" si="44"/>
        <v>0</v>
      </c>
      <c r="N154" s="415"/>
      <c r="O154" s="415"/>
    </row>
    <row r="155" customFormat="1" ht="20" customHeight="1" spans="1:15">
      <c r="A155" s="418">
        <v>2012699</v>
      </c>
      <c r="B155" s="419" t="s">
        <v>255</v>
      </c>
      <c r="C155" s="307">
        <v>0</v>
      </c>
      <c r="D155" s="343"/>
      <c r="E155" s="423"/>
      <c r="F155" s="414"/>
      <c r="G155" s="346">
        <f t="shared" si="49"/>
        <v>0</v>
      </c>
      <c r="H155" s="414"/>
      <c r="I155" s="343"/>
      <c r="J155" s="307">
        <f t="shared" si="50"/>
        <v>0</v>
      </c>
      <c r="K155" s="306"/>
      <c r="M155">
        <f t="shared" si="44"/>
        <v>0</v>
      </c>
      <c r="N155" s="415"/>
      <c r="O155" s="415"/>
    </row>
    <row r="156" customFormat="1" ht="20" customHeight="1" spans="1:15">
      <c r="A156" s="416">
        <v>20128</v>
      </c>
      <c r="B156" s="426" t="s">
        <v>256</v>
      </c>
      <c r="C156" s="346">
        <f>SUM(C157:C162)</f>
        <v>55.968029</v>
      </c>
      <c r="D156" s="346">
        <f t="shared" ref="D156:I156" si="58">SUM(D157:D162)</f>
        <v>70.098299</v>
      </c>
      <c r="E156" s="346">
        <f t="shared" si="58"/>
        <v>56</v>
      </c>
      <c r="F156" s="414">
        <f>E156/D156*100</f>
        <v>79.8878158227491</v>
      </c>
      <c r="G156" s="346">
        <f t="shared" si="49"/>
        <v>0.0319709999999986</v>
      </c>
      <c r="H156" s="414">
        <f>G156/C156*100</f>
        <v>0.0571236839517765</v>
      </c>
      <c r="I156" s="346">
        <f t="shared" si="58"/>
        <v>51.838833</v>
      </c>
      <c r="J156" s="307">
        <f t="shared" si="50"/>
        <v>-18.259466</v>
      </c>
      <c r="K156" s="306">
        <f>J156/D156*100</f>
        <v>-26.0483724433884</v>
      </c>
      <c r="M156">
        <f t="shared" si="44"/>
        <v>0</v>
      </c>
      <c r="N156" s="415"/>
      <c r="O156" s="415"/>
    </row>
    <row r="157" customFormat="1" ht="20" customHeight="1" spans="1:15">
      <c r="A157" s="418">
        <v>2012801</v>
      </c>
      <c r="B157" s="421" t="s">
        <v>165</v>
      </c>
      <c r="C157" s="307">
        <v>55.968029</v>
      </c>
      <c r="D157" s="425">
        <v>70.098299</v>
      </c>
      <c r="E157" s="423">
        <v>55</v>
      </c>
      <c r="F157" s="414">
        <f>E157/D157*100</f>
        <v>78.4612476830572</v>
      </c>
      <c r="G157" s="346">
        <f t="shared" si="49"/>
        <v>-0.968029000000001</v>
      </c>
      <c r="H157" s="414">
        <f>G157/C157*100</f>
        <v>-1.72961066754736</v>
      </c>
      <c r="I157" s="420">
        <v>51.838833</v>
      </c>
      <c r="J157" s="307">
        <f t="shared" si="50"/>
        <v>-18.259466</v>
      </c>
      <c r="K157" s="306">
        <f>J157/D157*100</f>
        <v>-26.0483724433884</v>
      </c>
      <c r="M157">
        <f t="shared" si="44"/>
        <v>70</v>
      </c>
      <c r="N157" s="415">
        <v>70</v>
      </c>
      <c r="O157" s="415"/>
    </row>
    <row r="158" customFormat="1" ht="20" customHeight="1" spans="1:15">
      <c r="A158" s="418">
        <v>2012802</v>
      </c>
      <c r="B158" s="421" t="s">
        <v>166</v>
      </c>
      <c r="C158" s="307">
        <v>0</v>
      </c>
      <c r="D158" s="343"/>
      <c r="E158" s="423">
        <v>1</v>
      </c>
      <c r="F158" s="414"/>
      <c r="G158" s="346">
        <f t="shared" si="49"/>
        <v>1</v>
      </c>
      <c r="H158" s="414"/>
      <c r="I158" s="343"/>
      <c r="J158" s="307">
        <f t="shared" si="50"/>
        <v>0</v>
      </c>
      <c r="K158" s="306"/>
      <c r="M158">
        <f t="shared" si="44"/>
        <v>0</v>
      </c>
      <c r="N158" s="415"/>
      <c r="O158" s="415"/>
    </row>
    <row r="159" customFormat="1" ht="20" customHeight="1" spans="1:15">
      <c r="A159" s="418">
        <v>2012803</v>
      </c>
      <c r="B159" s="422" t="s">
        <v>167</v>
      </c>
      <c r="C159" s="307">
        <v>0</v>
      </c>
      <c r="D159" s="343"/>
      <c r="E159" s="307"/>
      <c r="F159" s="414"/>
      <c r="G159" s="346">
        <f t="shared" si="49"/>
        <v>0</v>
      </c>
      <c r="H159" s="414"/>
      <c r="I159" s="343"/>
      <c r="J159" s="307">
        <f t="shared" si="50"/>
        <v>0</v>
      </c>
      <c r="K159" s="306"/>
      <c r="M159">
        <f t="shared" si="44"/>
        <v>0</v>
      </c>
      <c r="N159" s="415"/>
      <c r="O159" s="415"/>
    </row>
    <row r="160" customFormat="1" ht="20" customHeight="1" spans="1:15">
      <c r="A160" s="418">
        <v>2012804</v>
      </c>
      <c r="B160" s="419" t="s">
        <v>179</v>
      </c>
      <c r="C160" s="307">
        <v>0</v>
      </c>
      <c r="D160" s="343"/>
      <c r="E160" s="307"/>
      <c r="F160" s="414"/>
      <c r="G160" s="346">
        <f t="shared" si="49"/>
        <v>0</v>
      </c>
      <c r="H160" s="414"/>
      <c r="I160" s="343"/>
      <c r="J160" s="307">
        <f t="shared" si="50"/>
        <v>0</v>
      </c>
      <c r="K160" s="306"/>
      <c r="M160">
        <f t="shared" si="44"/>
        <v>0</v>
      </c>
      <c r="N160" s="415"/>
      <c r="O160" s="415"/>
    </row>
    <row r="161" customFormat="1" ht="20" customHeight="1" spans="1:17">
      <c r="A161" s="418">
        <v>2012850</v>
      </c>
      <c r="B161" s="419" t="s">
        <v>174</v>
      </c>
      <c r="C161" s="307">
        <v>0</v>
      </c>
      <c r="D161" s="343"/>
      <c r="E161" s="307"/>
      <c r="F161" s="414"/>
      <c r="G161" s="346">
        <f t="shared" si="49"/>
        <v>0</v>
      </c>
      <c r="H161" s="414"/>
      <c r="I161" s="343"/>
      <c r="J161" s="307">
        <f t="shared" si="50"/>
        <v>0</v>
      </c>
      <c r="K161" s="306"/>
      <c r="M161">
        <f t="shared" si="44"/>
        <v>0</v>
      </c>
      <c r="N161" s="415"/>
      <c r="O161" s="415"/>
    </row>
    <row r="162" customFormat="1" ht="20" customHeight="1" spans="1:17">
      <c r="A162" s="418">
        <v>2012899</v>
      </c>
      <c r="B162" s="419" t="s">
        <v>257</v>
      </c>
      <c r="C162" s="307">
        <v>0</v>
      </c>
      <c r="D162" s="343"/>
      <c r="E162" s="307"/>
      <c r="F162" s="414"/>
      <c r="G162" s="346">
        <f t="shared" si="49"/>
        <v>0</v>
      </c>
      <c r="H162" s="414"/>
      <c r="I162" s="343"/>
      <c r="J162" s="307">
        <f t="shared" si="50"/>
        <v>0</v>
      </c>
      <c r="K162" s="306"/>
      <c r="M162">
        <f t="shared" si="44"/>
        <v>0</v>
      </c>
      <c r="N162" s="415"/>
      <c r="O162" s="415"/>
    </row>
    <row r="163" customFormat="1" ht="20" customHeight="1" spans="1:17">
      <c r="A163" s="416">
        <v>20129</v>
      </c>
      <c r="B163" s="426" t="s">
        <v>258</v>
      </c>
      <c r="C163" s="346">
        <f>SUM(C164:C169)</f>
        <v>1168.940903</v>
      </c>
      <c r="D163" s="346">
        <f t="shared" ref="D163:I163" si="59">SUM(D164:D169)</f>
        <v>139.099897</v>
      </c>
      <c r="E163" s="346">
        <f t="shared" si="59"/>
        <v>653</v>
      </c>
      <c r="F163" s="414">
        <f t="shared" ref="F163:F165" si="60">E163/D163*100</f>
        <v>469.446789022425</v>
      </c>
      <c r="G163" s="346">
        <f t="shared" si="49"/>
        <v>-515.940903</v>
      </c>
      <c r="H163" s="414">
        <f t="shared" ref="H163:H165" si="61">G163/C163*100</f>
        <v>-44.1374668022888</v>
      </c>
      <c r="I163" s="346">
        <f t="shared" si="59"/>
        <v>315.563402</v>
      </c>
      <c r="J163" s="307">
        <f t="shared" si="50"/>
        <v>176.463505</v>
      </c>
      <c r="K163" s="306">
        <f t="shared" ref="K163:K165" si="62">J163/D163*100</f>
        <v>126.860988976865</v>
      </c>
      <c r="M163">
        <f t="shared" si="44"/>
        <v>0</v>
      </c>
      <c r="N163" s="415"/>
      <c r="O163" s="415"/>
    </row>
    <row r="164" customFormat="1" ht="20" customHeight="1" spans="1:17">
      <c r="A164" s="418">
        <v>2012901</v>
      </c>
      <c r="B164" s="421" t="s">
        <v>165</v>
      </c>
      <c r="C164" s="307">
        <v>127.505322</v>
      </c>
      <c r="D164" s="343">
        <v>132.049897</v>
      </c>
      <c r="E164" s="423">
        <v>135</v>
      </c>
      <c r="F164" s="414">
        <f t="shared" si="60"/>
        <v>102.234082015225</v>
      </c>
      <c r="G164" s="346">
        <f t="shared" si="49"/>
        <v>7.49467799999999</v>
      </c>
      <c r="H164" s="414">
        <f t="shared" si="61"/>
        <v>5.87793347167108</v>
      </c>
      <c r="I164" s="343">
        <v>126.2</v>
      </c>
      <c r="J164" s="307">
        <f t="shared" si="50"/>
        <v>-5.84989699999998</v>
      </c>
      <c r="K164" s="306">
        <f t="shared" si="62"/>
        <v>-4.43006555317494</v>
      </c>
      <c r="M164">
        <f t="shared" ref="M164:M227" si="63">N164+O164</f>
        <v>117</v>
      </c>
      <c r="N164" s="415">
        <v>117</v>
      </c>
      <c r="O164" s="415"/>
    </row>
    <row r="165" customFormat="1" ht="20" customHeight="1" spans="1:17">
      <c r="A165" s="418">
        <v>2012902</v>
      </c>
      <c r="B165" s="421" t="s">
        <v>166</v>
      </c>
      <c r="C165" s="307">
        <v>53.28238</v>
      </c>
      <c r="D165" s="343">
        <v>1.8</v>
      </c>
      <c r="E165" s="423">
        <v>105</v>
      </c>
      <c r="F165" s="414">
        <f t="shared" si="60"/>
        <v>5833.33333333333</v>
      </c>
      <c r="G165" s="346">
        <f t="shared" si="49"/>
        <v>51.71762</v>
      </c>
      <c r="H165" s="414">
        <f t="shared" si="61"/>
        <v>97.0632693209275</v>
      </c>
      <c r="I165" s="343">
        <f>43+3.21+73.64+2.27</f>
        <v>122.12</v>
      </c>
      <c r="J165" s="307">
        <f t="shared" si="50"/>
        <v>120.32</v>
      </c>
      <c r="K165" s="306">
        <f t="shared" si="62"/>
        <v>6684.44444444444</v>
      </c>
      <c r="M165">
        <f t="shared" si="63"/>
        <v>0</v>
      </c>
      <c r="N165" s="415"/>
      <c r="O165" s="415"/>
      <c r="P165">
        <v>2</v>
      </c>
    </row>
    <row r="166" customFormat="1" ht="20" customHeight="1" spans="1:17">
      <c r="A166" s="418">
        <v>2012903</v>
      </c>
      <c r="B166" s="419" t="s">
        <v>167</v>
      </c>
      <c r="C166" s="307">
        <v>0</v>
      </c>
      <c r="D166" s="343"/>
      <c r="E166" s="423"/>
      <c r="F166" s="414"/>
      <c r="G166" s="346">
        <f t="shared" si="49"/>
        <v>0</v>
      </c>
      <c r="H166" s="414"/>
      <c r="I166" s="343"/>
      <c r="J166" s="307">
        <f t="shared" si="50"/>
        <v>0</v>
      </c>
      <c r="K166" s="306"/>
      <c r="M166">
        <f t="shared" si="63"/>
        <v>0</v>
      </c>
      <c r="N166" s="415"/>
      <c r="O166" s="415"/>
    </row>
    <row r="167" customFormat="1" ht="20" customHeight="1" spans="1:17">
      <c r="A167" s="418">
        <v>2012906</v>
      </c>
      <c r="B167" s="419" t="s">
        <v>259</v>
      </c>
      <c r="C167" s="307">
        <v>988.153201</v>
      </c>
      <c r="D167" s="343"/>
      <c r="E167" s="423">
        <v>411</v>
      </c>
      <c r="F167" s="414"/>
      <c r="G167" s="346">
        <f t="shared" si="49"/>
        <v>-577.153201</v>
      </c>
      <c r="H167" s="414">
        <f t="shared" ref="H167:H172" si="64">G167/C167*100</f>
        <v>-58.4072591594023</v>
      </c>
      <c r="I167" s="343">
        <v>12.83</v>
      </c>
      <c r="J167" s="307">
        <f t="shared" si="50"/>
        <v>12.83</v>
      </c>
      <c r="K167" s="306"/>
      <c r="M167">
        <f t="shared" si="63"/>
        <v>0</v>
      </c>
      <c r="N167" s="415"/>
      <c r="O167" s="415"/>
      <c r="P167">
        <v>19</v>
      </c>
    </row>
    <row r="168" customFormat="1" ht="20" customHeight="1" spans="1:17">
      <c r="A168" s="418">
        <v>2012950</v>
      </c>
      <c r="B168" s="421" t="s">
        <v>174</v>
      </c>
      <c r="C168" s="307">
        <v>0</v>
      </c>
      <c r="D168" s="343"/>
      <c r="E168" s="423"/>
      <c r="F168" s="414"/>
      <c r="G168" s="346">
        <f t="shared" si="49"/>
        <v>0</v>
      </c>
      <c r="H168" s="414"/>
      <c r="I168" s="420">
        <v>51.413402</v>
      </c>
      <c r="J168" s="307">
        <f t="shared" si="50"/>
        <v>51.413402</v>
      </c>
      <c r="K168" s="306"/>
      <c r="M168">
        <f t="shared" si="63"/>
        <v>0</v>
      </c>
      <c r="N168" s="415"/>
      <c r="O168" s="415"/>
    </row>
    <row r="169" customFormat="1" ht="20" customHeight="1" spans="1:17">
      <c r="A169" s="418">
        <v>2012999</v>
      </c>
      <c r="B169" s="421" t="s">
        <v>260</v>
      </c>
      <c r="C169" s="307">
        <v>0</v>
      </c>
      <c r="D169" s="425">
        <f>3+2.25</f>
        <v>5.25</v>
      </c>
      <c r="E169" s="423">
        <v>2</v>
      </c>
      <c r="F169" s="414">
        <f t="shared" ref="F169:F172" si="65">E169/D169*100</f>
        <v>38.0952380952381</v>
      </c>
      <c r="G169" s="346">
        <f t="shared" si="49"/>
        <v>2</v>
      </c>
      <c r="H169" s="414"/>
      <c r="I169" s="425">
        <v>3</v>
      </c>
      <c r="J169" s="307">
        <f t="shared" si="50"/>
        <v>-2.25</v>
      </c>
      <c r="K169" s="306">
        <f t="shared" ref="K169:K172" si="66">J169/D169*100</f>
        <v>-42.8571428571429</v>
      </c>
      <c r="M169">
        <f t="shared" si="63"/>
        <v>0</v>
      </c>
      <c r="N169" s="415"/>
      <c r="O169" s="415"/>
      <c r="P169">
        <v>2</v>
      </c>
      <c r="Q169">
        <v>1</v>
      </c>
    </row>
    <row r="170" customFormat="1" ht="20" customHeight="1" spans="1:17">
      <c r="A170" s="416">
        <v>20131</v>
      </c>
      <c r="B170" s="426" t="s">
        <v>261</v>
      </c>
      <c r="C170" s="346">
        <f>SUM(C171:C176)</f>
        <v>668.342487</v>
      </c>
      <c r="D170" s="346">
        <f t="shared" ref="D170:I170" si="67">SUM(D171:D176)</f>
        <v>569.442081</v>
      </c>
      <c r="E170" s="346">
        <f t="shared" si="67"/>
        <v>565</v>
      </c>
      <c r="F170" s="414">
        <f t="shared" si="65"/>
        <v>99.2199240013665</v>
      </c>
      <c r="G170" s="346">
        <f t="shared" si="49"/>
        <v>-103.342487</v>
      </c>
      <c r="H170" s="414">
        <f t="shared" si="64"/>
        <v>-15.46250448088</v>
      </c>
      <c r="I170" s="346">
        <f t="shared" si="67"/>
        <v>1182.606043</v>
      </c>
      <c r="J170" s="307">
        <f t="shared" si="50"/>
        <v>613.163962</v>
      </c>
      <c r="K170" s="306">
        <f t="shared" si="66"/>
        <v>107.678020725693</v>
      </c>
      <c r="M170">
        <f t="shared" si="63"/>
        <v>0</v>
      </c>
      <c r="N170" s="415"/>
      <c r="O170" s="415"/>
    </row>
    <row r="171" customFormat="1" ht="20" customHeight="1" spans="1:17">
      <c r="A171" s="418">
        <v>2013101</v>
      </c>
      <c r="B171" s="421" t="s">
        <v>165</v>
      </c>
      <c r="C171" s="307">
        <v>532.408229</v>
      </c>
      <c r="D171" s="343">
        <v>500.642943</v>
      </c>
      <c r="E171" s="423">
        <v>439</v>
      </c>
      <c r="F171" s="414">
        <f t="shared" si="65"/>
        <v>87.6872442003042</v>
      </c>
      <c r="G171" s="346">
        <f t="shared" si="49"/>
        <v>-93.408229</v>
      </c>
      <c r="H171" s="414">
        <f t="shared" si="64"/>
        <v>-17.544475068585</v>
      </c>
      <c r="I171" s="343">
        <v>508.57</v>
      </c>
      <c r="J171" s="307">
        <f t="shared" si="50"/>
        <v>7.92705699999999</v>
      </c>
      <c r="K171" s="306">
        <f t="shared" si="66"/>
        <v>1.5833753597921</v>
      </c>
      <c r="M171">
        <f t="shared" si="63"/>
        <v>661</v>
      </c>
      <c r="N171" s="415">
        <v>661</v>
      </c>
      <c r="O171" s="415"/>
    </row>
    <row r="172" customFormat="1" ht="20" customHeight="1" spans="1:17">
      <c r="A172" s="418">
        <v>2013102</v>
      </c>
      <c r="B172" s="419" t="s">
        <v>166</v>
      </c>
      <c r="C172" s="307">
        <v>36.744401</v>
      </c>
      <c r="D172" s="343">
        <v>19.3371</v>
      </c>
      <c r="E172" s="423">
        <v>14</v>
      </c>
      <c r="F172" s="414">
        <f t="shared" si="65"/>
        <v>72.3996876470619</v>
      </c>
      <c r="G172" s="346">
        <f t="shared" si="49"/>
        <v>-22.744401</v>
      </c>
      <c r="H172" s="414">
        <f t="shared" si="64"/>
        <v>-61.8989570683163</v>
      </c>
      <c r="I172" s="343">
        <v>613.29</v>
      </c>
      <c r="J172" s="307">
        <f t="shared" si="50"/>
        <v>593.9529</v>
      </c>
      <c r="K172" s="306">
        <f t="shared" si="66"/>
        <v>3071.57174550476</v>
      </c>
      <c r="M172">
        <f t="shared" si="63"/>
        <v>33</v>
      </c>
      <c r="N172" s="415">
        <v>33</v>
      </c>
      <c r="O172" s="415"/>
    </row>
    <row r="173" customFormat="1" ht="20" customHeight="1" spans="1:17">
      <c r="A173" s="418">
        <v>2013103</v>
      </c>
      <c r="B173" s="419" t="s">
        <v>167</v>
      </c>
      <c r="C173" s="307">
        <v>0</v>
      </c>
      <c r="D173" s="343"/>
      <c r="E173" s="423"/>
      <c r="F173" s="414"/>
      <c r="G173" s="346">
        <f t="shared" si="49"/>
        <v>0</v>
      </c>
      <c r="H173" s="414"/>
      <c r="I173" s="343"/>
      <c r="J173" s="307">
        <f t="shared" si="50"/>
        <v>0</v>
      </c>
      <c r="K173" s="306"/>
      <c r="M173">
        <f t="shared" si="63"/>
        <v>0</v>
      </c>
      <c r="N173" s="415"/>
      <c r="O173" s="415"/>
    </row>
    <row r="174" customFormat="1" ht="20" customHeight="1" spans="1:17">
      <c r="A174" s="418">
        <v>2013105</v>
      </c>
      <c r="B174" s="419" t="s">
        <v>262</v>
      </c>
      <c r="C174" s="307">
        <v>0</v>
      </c>
      <c r="D174" s="343"/>
      <c r="E174" s="423"/>
      <c r="F174" s="414"/>
      <c r="G174" s="346">
        <f t="shared" si="49"/>
        <v>0</v>
      </c>
      <c r="H174" s="414"/>
      <c r="I174" s="343"/>
      <c r="J174" s="307">
        <f t="shared" si="50"/>
        <v>0</v>
      </c>
      <c r="K174" s="306"/>
      <c r="M174">
        <f t="shared" si="63"/>
        <v>0</v>
      </c>
      <c r="N174" s="415"/>
      <c r="O174" s="415"/>
    </row>
    <row r="175" customFormat="1" ht="20" customHeight="1" spans="1:17">
      <c r="A175" s="418">
        <v>2013150</v>
      </c>
      <c r="B175" s="421" t="s">
        <v>174</v>
      </c>
      <c r="C175" s="307">
        <v>99.189857</v>
      </c>
      <c r="D175" s="425">
        <v>49.462038</v>
      </c>
      <c r="E175" s="423">
        <v>112</v>
      </c>
      <c r="F175" s="414">
        <f t="shared" ref="F175:F179" si="68">E175/D175*100</f>
        <v>226.436282306038</v>
      </c>
      <c r="G175" s="346">
        <f t="shared" si="49"/>
        <v>12.810143</v>
      </c>
      <c r="H175" s="414">
        <f t="shared" ref="H175:H179" si="69">G175/C175*100</f>
        <v>12.9147711141473</v>
      </c>
      <c r="I175" s="420">
        <v>60.746043</v>
      </c>
      <c r="J175" s="307">
        <f t="shared" si="50"/>
        <v>11.284005</v>
      </c>
      <c r="K175" s="306">
        <f t="shared" ref="K175:K179" si="70">J175/D175*100</f>
        <v>22.813465551096</v>
      </c>
      <c r="M175">
        <f t="shared" si="63"/>
        <v>0</v>
      </c>
      <c r="N175" s="415"/>
      <c r="O175" s="415"/>
    </row>
    <row r="176" customFormat="1" ht="20" customHeight="1" spans="1:17">
      <c r="A176" s="418">
        <v>9906</v>
      </c>
      <c r="B176" s="424" t="s">
        <v>263</v>
      </c>
      <c r="C176" s="307">
        <v>0</v>
      </c>
      <c r="D176" s="343"/>
      <c r="E176" s="423"/>
      <c r="F176" s="414"/>
      <c r="G176" s="346">
        <f t="shared" si="49"/>
        <v>0</v>
      </c>
      <c r="H176" s="414"/>
      <c r="I176" s="343"/>
      <c r="J176" s="307">
        <f t="shared" si="50"/>
        <v>0</v>
      </c>
      <c r="K176" s="306"/>
      <c r="M176">
        <f t="shared" si="63"/>
        <v>0</v>
      </c>
      <c r="N176" s="415"/>
      <c r="O176" s="415"/>
    </row>
    <row r="177" customFormat="1" ht="20" customHeight="1" spans="1:16">
      <c r="A177" s="416">
        <v>20132</v>
      </c>
      <c r="B177" s="426" t="s">
        <v>264</v>
      </c>
      <c r="C177" s="346">
        <f>SUM(C178:C183)</f>
        <v>519.793669</v>
      </c>
      <c r="D177" s="346">
        <f t="shared" ref="D177:I177" si="71">SUM(D178:D183)</f>
        <v>804.408332</v>
      </c>
      <c r="E177" s="346">
        <f t="shared" si="71"/>
        <v>524</v>
      </c>
      <c r="F177" s="414">
        <f t="shared" si="68"/>
        <v>65.1410458040855</v>
      </c>
      <c r="G177" s="346">
        <f t="shared" si="49"/>
        <v>4.20633099999998</v>
      </c>
      <c r="H177" s="414">
        <f t="shared" si="69"/>
        <v>0.809230902733441</v>
      </c>
      <c r="I177" s="346">
        <f t="shared" si="71"/>
        <v>1055.962</v>
      </c>
      <c r="J177" s="307">
        <f t="shared" si="50"/>
        <v>251.553668</v>
      </c>
      <c r="K177" s="306">
        <f t="shared" si="70"/>
        <v>31.2718874224689</v>
      </c>
      <c r="M177">
        <f t="shared" si="63"/>
        <v>0</v>
      </c>
      <c r="N177" s="415"/>
      <c r="O177" s="415"/>
    </row>
    <row r="178" customFormat="1" ht="20" customHeight="1" spans="1:16">
      <c r="A178" s="418">
        <v>2013201</v>
      </c>
      <c r="B178" s="419" t="s">
        <v>165</v>
      </c>
      <c r="C178" s="307">
        <v>437.148235</v>
      </c>
      <c r="D178" s="343">
        <v>478.110332</v>
      </c>
      <c r="E178" s="423">
        <v>463</v>
      </c>
      <c r="F178" s="414">
        <f t="shared" si="68"/>
        <v>96.8395721680409</v>
      </c>
      <c r="G178" s="346">
        <f t="shared" si="49"/>
        <v>25.851765</v>
      </c>
      <c r="H178" s="414">
        <f t="shared" si="69"/>
        <v>5.91372969857696</v>
      </c>
      <c r="I178" s="343">
        <v>470.62</v>
      </c>
      <c r="J178" s="307">
        <f t="shared" si="50"/>
        <v>-7.49033200000002</v>
      </c>
      <c r="K178" s="306">
        <f t="shared" si="70"/>
        <v>-1.56665344768162</v>
      </c>
      <c r="M178" s="278">
        <f t="shared" si="63"/>
        <v>411</v>
      </c>
      <c r="N178" s="415">
        <v>411</v>
      </c>
      <c r="O178" s="415"/>
    </row>
    <row r="179" customFormat="1" ht="20" customHeight="1" spans="1:16">
      <c r="A179" s="418">
        <v>2013202</v>
      </c>
      <c r="B179" s="419" t="s">
        <v>166</v>
      </c>
      <c r="C179" s="307">
        <v>82.645434</v>
      </c>
      <c r="D179" s="425">
        <f>280.538+45.76</f>
        <v>326.298</v>
      </c>
      <c r="E179" s="423">
        <v>44</v>
      </c>
      <c r="F179" s="414">
        <f t="shared" si="68"/>
        <v>13.4846060962678</v>
      </c>
      <c r="G179" s="346">
        <f t="shared" si="49"/>
        <v>-38.645434</v>
      </c>
      <c r="H179" s="414">
        <f t="shared" si="69"/>
        <v>-46.7605191594735</v>
      </c>
      <c r="I179" s="420">
        <f>539.582+45.76</f>
        <v>585.342</v>
      </c>
      <c r="J179" s="307">
        <f t="shared" si="50"/>
        <v>259.044</v>
      </c>
      <c r="K179" s="306">
        <f t="shared" si="70"/>
        <v>79.3887795818546</v>
      </c>
      <c r="M179" s="278">
        <f t="shared" si="63"/>
        <v>189</v>
      </c>
      <c r="N179" s="415">
        <v>189</v>
      </c>
      <c r="O179" s="415"/>
      <c r="P179">
        <v>58</v>
      </c>
    </row>
    <row r="180" customFormat="1" ht="20" customHeight="1" spans="1:16">
      <c r="A180" s="418">
        <v>2013203</v>
      </c>
      <c r="B180" s="419" t="s">
        <v>167</v>
      </c>
      <c r="C180" s="307">
        <v>0</v>
      </c>
      <c r="D180" s="343"/>
      <c r="E180" s="423"/>
      <c r="F180" s="414"/>
      <c r="G180" s="346">
        <f t="shared" si="49"/>
        <v>0</v>
      </c>
      <c r="H180" s="414"/>
      <c r="I180" s="343"/>
      <c r="J180" s="307">
        <f t="shared" si="50"/>
        <v>0</v>
      </c>
      <c r="K180" s="306"/>
      <c r="M180" s="278">
        <f t="shared" si="63"/>
        <v>0</v>
      </c>
      <c r="N180" s="415"/>
      <c r="O180" s="415"/>
    </row>
    <row r="181" customFormat="1" ht="20" customHeight="1" spans="1:16">
      <c r="A181" s="418">
        <v>2013204</v>
      </c>
      <c r="B181" s="419" t="s">
        <v>265</v>
      </c>
      <c r="C181" s="307">
        <v>0</v>
      </c>
      <c r="D181" s="343"/>
      <c r="E181" s="423"/>
      <c r="F181" s="414"/>
      <c r="G181" s="346">
        <f t="shared" si="49"/>
        <v>0</v>
      </c>
      <c r="H181" s="414"/>
      <c r="I181" s="343"/>
      <c r="J181" s="307">
        <f t="shared" si="50"/>
        <v>0</v>
      </c>
      <c r="K181" s="306"/>
      <c r="M181" s="278">
        <f t="shared" si="63"/>
        <v>0</v>
      </c>
      <c r="N181" s="415"/>
      <c r="O181" s="415"/>
    </row>
    <row r="182" customFormat="1" ht="20" customHeight="1" spans="1:16">
      <c r="A182" s="418">
        <v>2013250</v>
      </c>
      <c r="B182" s="421" t="s">
        <v>174</v>
      </c>
      <c r="C182" s="307">
        <v>0</v>
      </c>
      <c r="D182" s="343"/>
      <c r="E182" s="423"/>
      <c r="F182" s="414"/>
      <c r="G182" s="346">
        <f t="shared" si="49"/>
        <v>0</v>
      </c>
      <c r="H182" s="414"/>
      <c r="I182" s="343"/>
      <c r="J182" s="307">
        <f t="shared" si="50"/>
        <v>0</v>
      </c>
      <c r="K182" s="306"/>
      <c r="M182">
        <f t="shared" si="63"/>
        <v>0</v>
      </c>
      <c r="N182" s="415"/>
      <c r="O182" s="415"/>
    </row>
    <row r="183" customFormat="1" ht="20" customHeight="1" spans="1:16">
      <c r="A183" s="418">
        <v>2013299</v>
      </c>
      <c r="B183" s="421" t="s">
        <v>266</v>
      </c>
      <c r="C183" s="307">
        <v>0</v>
      </c>
      <c r="D183" s="343"/>
      <c r="E183" s="423">
        <v>17</v>
      </c>
      <c r="F183" s="414"/>
      <c r="G183" s="346">
        <f t="shared" si="49"/>
        <v>17</v>
      </c>
      <c r="H183" s="414"/>
      <c r="I183" s="343"/>
      <c r="J183" s="307">
        <f t="shared" si="50"/>
        <v>0</v>
      </c>
      <c r="K183" s="306"/>
      <c r="M183">
        <f t="shared" si="63"/>
        <v>0</v>
      </c>
      <c r="N183" s="415"/>
      <c r="O183" s="415"/>
    </row>
    <row r="184" customFormat="1" ht="20" customHeight="1" spans="1:16">
      <c r="A184" s="416">
        <v>20133</v>
      </c>
      <c r="B184" s="426" t="s">
        <v>267</v>
      </c>
      <c r="C184" s="346">
        <f>SUM(C185:C190)</f>
        <v>324.779189</v>
      </c>
      <c r="D184" s="346">
        <f t="shared" ref="D184:I184" si="72">SUM(D185:D190)</f>
        <v>227.761281</v>
      </c>
      <c r="E184" s="346">
        <f t="shared" si="72"/>
        <v>320</v>
      </c>
      <c r="F184" s="414">
        <f t="shared" ref="F184:F186" si="73">E184/D184*100</f>
        <v>140.497980427147</v>
      </c>
      <c r="G184" s="346">
        <f t="shared" si="49"/>
        <v>-4.77918899999997</v>
      </c>
      <c r="H184" s="414">
        <f t="shared" ref="H184:H186" si="74">G184/C184*100</f>
        <v>-1.47151946980198</v>
      </c>
      <c r="I184" s="346">
        <f t="shared" si="72"/>
        <v>177.801057</v>
      </c>
      <c r="J184" s="307">
        <f t="shared" si="50"/>
        <v>-49.960224</v>
      </c>
      <c r="K184" s="306">
        <f t="shared" ref="K184:K186" si="75">J184/D184*100</f>
        <v>-21.9353455427747</v>
      </c>
      <c r="M184">
        <f t="shared" si="63"/>
        <v>0</v>
      </c>
      <c r="N184" s="415"/>
      <c r="O184" s="415"/>
    </row>
    <row r="185" customFormat="1" ht="20" customHeight="1" spans="1:16">
      <c r="A185" s="418">
        <v>2013301</v>
      </c>
      <c r="B185" s="422" t="s">
        <v>165</v>
      </c>
      <c r="C185" s="307">
        <v>281.814862</v>
      </c>
      <c r="D185" s="425">
        <v>218.71941</v>
      </c>
      <c r="E185" s="423">
        <v>219</v>
      </c>
      <c r="F185" s="414">
        <f t="shared" si="73"/>
        <v>100.128287654031</v>
      </c>
      <c r="G185" s="346">
        <f t="shared" si="49"/>
        <v>-62.814862</v>
      </c>
      <c r="H185" s="414">
        <f t="shared" si="74"/>
        <v>-22.2894071498614</v>
      </c>
      <c r="I185" s="420">
        <v>155.588428</v>
      </c>
      <c r="J185" s="307">
        <f t="shared" si="50"/>
        <v>-63.130982</v>
      </c>
      <c r="K185" s="306">
        <f t="shared" si="75"/>
        <v>-28.8639138154222</v>
      </c>
      <c r="M185">
        <f t="shared" si="63"/>
        <v>243</v>
      </c>
      <c r="N185" s="415">
        <v>243</v>
      </c>
      <c r="O185" s="415"/>
    </row>
    <row r="186" customFormat="1" ht="20" customHeight="1" spans="1:16">
      <c r="A186" s="418">
        <v>2013302</v>
      </c>
      <c r="B186" s="419" t="s">
        <v>166</v>
      </c>
      <c r="C186" s="307">
        <v>42.964327</v>
      </c>
      <c r="D186" s="425">
        <v>9.041871</v>
      </c>
      <c r="E186" s="423">
        <v>101</v>
      </c>
      <c r="F186" s="414">
        <f t="shared" si="73"/>
        <v>1117.02544749864</v>
      </c>
      <c r="G186" s="346">
        <f t="shared" si="49"/>
        <v>58.035673</v>
      </c>
      <c r="H186" s="414">
        <f t="shared" si="74"/>
        <v>135.078743349105</v>
      </c>
      <c r="I186" s="420">
        <v>22.212629</v>
      </c>
      <c r="J186" s="307">
        <f t="shared" si="50"/>
        <v>13.170758</v>
      </c>
      <c r="K186" s="306">
        <f t="shared" si="75"/>
        <v>145.66407771135</v>
      </c>
      <c r="M186">
        <f t="shared" si="63"/>
        <v>12</v>
      </c>
      <c r="N186" s="415">
        <v>12</v>
      </c>
      <c r="O186" s="415"/>
    </row>
    <row r="187" customFormat="1" ht="20" customHeight="1" spans="1:16">
      <c r="A187" s="418">
        <v>2013303</v>
      </c>
      <c r="B187" s="419" t="s">
        <v>167</v>
      </c>
      <c r="C187" s="307">
        <v>0</v>
      </c>
      <c r="D187" s="343"/>
      <c r="E187" s="423"/>
      <c r="F187" s="414"/>
      <c r="G187" s="346">
        <f t="shared" si="49"/>
        <v>0</v>
      </c>
      <c r="H187" s="414"/>
      <c r="I187" s="343"/>
      <c r="J187" s="307">
        <f t="shared" si="50"/>
        <v>0</v>
      </c>
      <c r="K187" s="306"/>
      <c r="M187">
        <f t="shared" si="63"/>
        <v>0</v>
      </c>
      <c r="N187" s="415"/>
      <c r="O187" s="415"/>
    </row>
    <row r="188" customFormat="1" ht="20" customHeight="1" spans="1:16">
      <c r="A188" s="418">
        <v>2013304</v>
      </c>
      <c r="B188" s="419" t="s">
        <v>268</v>
      </c>
      <c r="C188" s="307">
        <v>0</v>
      </c>
      <c r="D188" s="343"/>
      <c r="E188" s="423"/>
      <c r="F188" s="414"/>
      <c r="G188" s="346">
        <f t="shared" si="49"/>
        <v>0</v>
      </c>
      <c r="H188" s="414"/>
      <c r="I188" s="343"/>
      <c r="J188" s="307">
        <f t="shared" si="50"/>
        <v>0</v>
      </c>
      <c r="K188" s="306"/>
      <c r="M188">
        <f t="shared" si="63"/>
        <v>0</v>
      </c>
      <c r="N188" s="415"/>
      <c r="O188" s="415"/>
    </row>
    <row r="189" customFormat="1" ht="20" customHeight="1" spans="1:16">
      <c r="A189" s="418">
        <v>2013350</v>
      </c>
      <c r="B189" s="419" t="s">
        <v>174</v>
      </c>
      <c r="C189" s="307">
        <v>0</v>
      </c>
      <c r="D189" s="343"/>
      <c r="E189" s="423"/>
      <c r="F189" s="414"/>
      <c r="G189" s="346">
        <f t="shared" si="49"/>
        <v>0</v>
      </c>
      <c r="H189" s="414"/>
      <c r="I189" s="343"/>
      <c r="J189" s="307">
        <f t="shared" si="50"/>
        <v>0</v>
      </c>
      <c r="K189" s="306"/>
      <c r="M189">
        <f t="shared" si="63"/>
        <v>0</v>
      </c>
      <c r="N189" s="415"/>
      <c r="O189" s="415"/>
    </row>
    <row r="190" customFormat="1" ht="20" customHeight="1" spans="1:16">
      <c r="A190" s="418">
        <v>2013399</v>
      </c>
      <c r="B190" s="421" t="s">
        <v>269</v>
      </c>
      <c r="C190" s="307">
        <v>0</v>
      </c>
      <c r="D190" s="343"/>
      <c r="E190" s="423"/>
      <c r="F190" s="414"/>
      <c r="G190" s="346">
        <f t="shared" si="49"/>
        <v>0</v>
      </c>
      <c r="H190" s="414"/>
      <c r="I190" s="343"/>
      <c r="J190" s="307">
        <f t="shared" si="50"/>
        <v>0</v>
      </c>
      <c r="K190" s="306"/>
      <c r="M190">
        <f t="shared" si="63"/>
        <v>0</v>
      </c>
      <c r="N190" s="415"/>
      <c r="O190" s="415"/>
    </row>
    <row r="191" customFormat="1" ht="20" customHeight="1" spans="1:16">
      <c r="A191" s="416">
        <v>20134</v>
      </c>
      <c r="B191" s="426" t="s">
        <v>270</v>
      </c>
      <c r="C191" s="346">
        <f>SUM(C192:C198)</f>
        <v>168.998293</v>
      </c>
      <c r="D191" s="346">
        <f t="shared" ref="D191:I191" si="76">SUM(D192:D198)</f>
        <v>101.984255</v>
      </c>
      <c r="E191" s="346">
        <f t="shared" si="76"/>
        <v>152</v>
      </c>
      <c r="F191" s="414">
        <f t="shared" ref="F191:F193" si="77">E191/D191*100</f>
        <v>149.042614470244</v>
      </c>
      <c r="G191" s="346">
        <f t="shared" si="49"/>
        <v>-16.998293</v>
      </c>
      <c r="H191" s="414">
        <f t="shared" ref="H191:H193" si="78">G191/C191*100</f>
        <v>-10.0582631328708</v>
      </c>
      <c r="I191" s="346">
        <f t="shared" si="76"/>
        <v>118.669268</v>
      </c>
      <c r="J191" s="307">
        <f t="shared" si="50"/>
        <v>16.685013</v>
      </c>
      <c r="K191" s="306">
        <f t="shared" ref="K191:K193" si="79">J191/D191*100</f>
        <v>16.3603813157237</v>
      </c>
      <c r="M191">
        <f t="shared" si="63"/>
        <v>0</v>
      </c>
      <c r="N191" s="415"/>
      <c r="O191" s="415"/>
    </row>
    <row r="192" customFormat="1" ht="20" customHeight="1" spans="1:16">
      <c r="A192" s="418">
        <v>2013401</v>
      </c>
      <c r="B192" s="421" t="s">
        <v>165</v>
      </c>
      <c r="C192" s="307">
        <v>142.842377</v>
      </c>
      <c r="D192" s="425">
        <v>92.250498</v>
      </c>
      <c r="E192" s="423">
        <v>134</v>
      </c>
      <c r="F192" s="414">
        <f t="shared" si="77"/>
        <v>145.256668424706</v>
      </c>
      <c r="G192" s="346">
        <f t="shared" si="49"/>
        <v>-8.842377</v>
      </c>
      <c r="H192" s="414">
        <f t="shared" si="78"/>
        <v>-6.19030373598445</v>
      </c>
      <c r="I192" s="420">
        <v>110.804332</v>
      </c>
      <c r="J192" s="307">
        <f t="shared" si="50"/>
        <v>18.553834</v>
      </c>
      <c r="K192" s="306">
        <f t="shared" si="79"/>
        <v>20.1124486070525</v>
      </c>
      <c r="M192">
        <f t="shared" si="63"/>
        <v>155</v>
      </c>
      <c r="N192" s="415">
        <v>155</v>
      </c>
      <c r="O192" s="415"/>
    </row>
    <row r="193" customFormat="1" ht="20" customHeight="1" spans="1:17">
      <c r="A193" s="418">
        <v>2013402</v>
      </c>
      <c r="B193" s="419" t="s">
        <v>166</v>
      </c>
      <c r="C193" s="307">
        <v>21.955916</v>
      </c>
      <c r="D193" s="425">
        <v>4.233757</v>
      </c>
      <c r="E193" s="423">
        <v>16</v>
      </c>
      <c r="F193" s="414">
        <f t="shared" si="77"/>
        <v>377.914934654965</v>
      </c>
      <c r="G193" s="346">
        <f t="shared" si="49"/>
        <v>-5.955916</v>
      </c>
      <c r="H193" s="414">
        <f t="shared" si="78"/>
        <v>-27.1267024340957</v>
      </c>
      <c r="I193" s="420">
        <v>4.064936</v>
      </c>
      <c r="J193" s="307">
        <f t="shared" si="50"/>
        <v>-0.168820999999999</v>
      </c>
      <c r="K193" s="306">
        <f t="shared" si="79"/>
        <v>-3.9874985739616</v>
      </c>
      <c r="M193">
        <f t="shared" si="63"/>
        <v>0</v>
      </c>
      <c r="N193" s="415"/>
      <c r="O193" s="415"/>
    </row>
    <row r="194" customFormat="1" ht="20" customHeight="1" spans="1:17">
      <c r="A194" s="418">
        <v>2013403</v>
      </c>
      <c r="B194" s="419" t="s">
        <v>167</v>
      </c>
      <c r="C194" s="307">
        <v>0</v>
      </c>
      <c r="D194" s="343"/>
      <c r="E194" s="423"/>
      <c r="F194" s="414"/>
      <c r="G194" s="346">
        <f t="shared" si="49"/>
        <v>0</v>
      </c>
      <c r="H194" s="414"/>
      <c r="I194" s="343"/>
      <c r="J194" s="307">
        <f t="shared" si="50"/>
        <v>0</v>
      </c>
      <c r="K194" s="306"/>
      <c r="M194">
        <f t="shared" si="63"/>
        <v>0</v>
      </c>
      <c r="N194" s="415"/>
      <c r="O194" s="415"/>
    </row>
    <row r="195" customFormat="1" ht="20" customHeight="1" spans="1:17">
      <c r="A195" s="418">
        <v>2013404</v>
      </c>
      <c r="B195" s="419" t="s">
        <v>271</v>
      </c>
      <c r="C195" s="307">
        <v>0</v>
      </c>
      <c r="D195" s="343"/>
      <c r="E195" s="423"/>
      <c r="F195" s="414"/>
      <c r="G195" s="346">
        <f t="shared" si="49"/>
        <v>0</v>
      </c>
      <c r="H195" s="414"/>
      <c r="I195" s="343"/>
      <c r="J195" s="307">
        <f t="shared" si="50"/>
        <v>0</v>
      </c>
      <c r="K195" s="306"/>
      <c r="M195">
        <f t="shared" si="63"/>
        <v>0</v>
      </c>
      <c r="N195" s="415"/>
      <c r="O195" s="415"/>
    </row>
    <row r="196" customFormat="1" ht="20" customHeight="1" spans="1:17">
      <c r="A196" s="418">
        <v>2013405</v>
      </c>
      <c r="B196" s="419" t="s">
        <v>272</v>
      </c>
      <c r="C196" s="307">
        <v>4.2</v>
      </c>
      <c r="D196" s="343">
        <v>5.5</v>
      </c>
      <c r="E196" s="423">
        <v>2</v>
      </c>
      <c r="F196" s="414">
        <f>E196/D196*100</f>
        <v>36.3636363636364</v>
      </c>
      <c r="G196" s="346">
        <f t="shared" si="49"/>
        <v>-2.2</v>
      </c>
      <c r="H196" s="414">
        <f>G196/C196*100</f>
        <v>-52.3809523809524</v>
      </c>
      <c r="I196" s="343">
        <v>3.8</v>
      </c>
      <c r="J196" s="307">
        <f t="shared" si="50"/>
        <v>-1.7</v>
      </c>
      <c r="K196" s="306">
        <f>J196/D196*100</f>
        <v>-30.9090909090909</v>
      </c>
      <c r="M196">
        <f t="shared" si="63"/>
        <v>0</v>
      </c>
      <c r="N196" s="415"/>
      <c r="O196" s="415"/>
      <c r="P196">
        <v>6</v>
      </c>
      <c r="Q196">
        <v>4</v>
      </c>
    </row>
    <row r="197" customFormat="1" ht="20" customHeight="1" spans="1:17">
      <c r="A197" s="418">
        <v>2013450</v>
      </c>
      <c r="B197" s="419" t="s">
        <v>174</v>
      </c>
      <c r="C197" s="307">
        <v>0</v>
      </c>
      <c r="D197" s="343"/>
      <c r="E197" s="423"/>
      <c r="F197" s="414"/>
      <c r="G197" s="346">
        <f t="shared" si="49"/>
        <v>0</v>
      </c>
      <c r="H197" s="414"/>
      <c r="I197" s="343"/>
      <c r="J197" s="307">
        <f t="shared" si="50"/>
        <v>0</v>
      </c>
      <c r="K197" s="306"/>
      <c r="M197">
        <f t="shared" si="63"/>
        <v>0</v>
      </c>
      <c r="N197" s="415"/>
      <c r="O197" s="415"/>
    </row>
    <row r="198" customFormat="1" ht="20" customHeight="1" spans="1:17">
      <c r="A198" s="418">
        <v>2013499</v>
      </c>
      <c r="B198" s="421" t="s">
        <v>273</v>
      </c>
      <c r="C198" s="307">
        <v>0</v>
      </c>
      <c r="D198" s="343"/>
      <c r="E198" s="423"/>
      <c r="F198" s="414"/>
      <c r="G198" s="346">
        <f t="shared" ref="G198:G261" si="80">E198-C198</f>
        <v>0</v>
      </c>
      <c r="H198" s="414"/>
      <c r="I198" s="343"/>
      <c r="J198" s="307">
        <f t="shared" ref="J198:J261" si="81">I198-D198</f>
        <v>0</v>
      </c>
      <c r="K198" s="306"/>
      <c r="M198">
        <f t="shared" si="63"/>
        <v>0</v>
      </c>
      <c r="N198" s="415"/>
      <c r="O198" s="415"/>
    </row>
    <row r="199" customFormat="1" ht="20" customHeight="1" spans="1:17">
      <c r="A199" s="416">
        <v>20135</v>
      </c>
      <c r="B199" s="426" t="s">
        <v>274</v>
      </c>
      <c r="C199" s="346">
        <v>0</v>
      </c>
      <c r="D199" s="346"/>
      <c r="E199" s="346">
        <v>0</v>
      </c>
      <c r="F199" s="414"/>
      <c r="G199" s="346">
        <f t="shared" si="80"/>
        <v>0</v>
      </c>
      <c r="H199" s="414"/>
      <c r="I199" s="346"/>
      <c r="J199" s="307">
        <f t="shared" si="81"/>
        <v>0</v>
      </c>
      <c r="K199" s="306"/>
      <c r="M199">
        <f t="shared" si="63"/>
        <v>0</v>
      </c>
      <c r="N199" s="415"/>
      <c r="O199" s="415"/>
    </row>
    <row r="200" customFormat="1" ht="20" customHeight="1" spans="1:17">
      <c r="A200" s="418">
        <v>2013501</v>
      </c>
      <c r="B200" s="421" t="s">
        <v>165</v>
      </c>
      <c r="C200" s="343">
        <v>0</v>
      </c>
      <c r="D200" s="343"/>
      <c r="E200" s="343">
        <v>0</v>
      </c>
      <c r="F200" s="414"/>
      <c r="G200" s="346">
        <f t="shared" si="80"/>
        <v>0</v>
      </c>
      <c r="H200" s="414"/>
      <c r="I200" s="343"/>
      <c r="J200" s="307">
        <f t="shared" si="81"/>
        <v>0</v>
      </c>
      <c r="K200" s="306"/>
      <c r="M200">
        <f t="shared" si="63"/>
        <v>0</v>
      </c>
      <c r="N200" s="415"/>
      <c r="O200" s="415"/>
    </row>
    <row r="201" customFormat="1" ht="20" customHeight="1" spans="1:17">
      <c r="A201" s="418">
        <v>2013502</v>
      </c>
      <c r="B201" s="422" t="s">
        <v>166</v>
      </c>
      <c r="C201" s="343">
        <v>0</v>
      </c>
      <c r="D201" s="343"/>
      <c r="E201" s="343">
        <v>0</v>
      </c>
      <c r="F201" s="414"/>
      <c r="G201" s="346">
        <f t="shared" si="80"/>
        <v>0</v>
      </c>
      <c r="H201" s="414"/>
      <c r="I201" s="343"/>
      <c r="J201" s="307">
        <f t="shared" si="81"/>
        <v>0</v>
      </c>
      <c r="K201" s="306"/>
      <c r="M201">
        <f t="shared" si="63"/>
        <v>0</v>
      </c>
      <c r="N201" s="415"/>
      <c r="O201" s="415"/>
    </row>
    <row r="202" customFormat="1" ht="20" customHeight="1" spans="1:17">
      <c r="A202" s="418">
        <v>2013503</v>
      </c>
      <c r="B202" s="419" t="s">
        <v>167</v>
      </c>
      <c r="C202" s="343">
        <v>0</v>
      </c>
      <c r="D202" s="343"/>
      <c r="E202" s="343">
        <v>0</v>
      </c>
      <c r="F202" s="414"/>
      <c r="G202" s="346">
        <f t="shared" si="80"/>
        <v>0</v>
      </c>
      <c r="H202" s="414"/>
      <c r="I202" s="343"/>
      <c r="J202" s="307">
        <f t="shared" si="81"/>
        <v>0</v>
      </c>
      <c r="K202" s="306"/>
      <c r="M202">
        <f t="shared" si="63"/>
        <v>0</v>
      </c>
      <c r="N202" s="415"/>
      <c r="O202" s="415"/>
    </row>
    <row r="203" customFormat="1" ht="20" customHeight="1" spans="1:17">
      <c r="A203" s="418">
        <v>2013550</v>
      </c>
      <c r="B203" s="419" t="s">
        <v>174</v>
      </c>
      <c r="C203" s="343">
        <v>0</v>
      </c>
      <c r="D203" s="343"/>
      <c r="E203" s="343">
        <v>0</v>
      </c>
      <c r="F203" s="414"/>
      <c r="G203" s="346">
        <f t="shared" si="80"/>
        <v>0</v>
      </c>
      <c r="H203" s="414"/>
      <c r="I203" s="343"/>
      <c r="J203" s="307">
        <f t="shared" si="81"/>
        <v>0</v>
      </c>
      <c r="K203" s="306"/>
      <c r="M203">
        <f t="shared" si="63"/>
        <v>0</v>
      </c>
      <c r="N203" s="415"/>
      <c r="O203" s="415"/>
    </row>
    <row r="204" customFormat="1" ht="20" customHeight="1" spans="1:17">
      <c r="A204" s="418">
        <v>2013599</v>
      </c>
      <c r="B204" s="419" t="s">
        <v>275</v>
      </c>
      <c r="C204" s="343">
        <v>0</v>
      </c>
      <c r="D204" s="343"/>
      <c r="E204" s="343">
        <v>0</v>
      </c>
      <c r="F204" s="414"/>
      <c r="G204" s="346">
        <f t="shared" si="80"/>
        <v>0</v>
      </c>
      <c r="H204" s="414"/>
      <c r="I204" s="343"/>
      <c r="J204" s="307">
        <f t="shared" si="81"/>
        <v>0</v>
      </c>
      <c r="K204" s="306"/>
      <c r="M204">
        <f t="shared" si="63"/>
        <v>0</v>
      </c>
      <c r="N204" s="415"/>
      <c r="O204" s="415"/>
    </row>
    <row r="205" customFormat="1" ht="20" customHeight="1" spans="1:17">
      <c r="A205" s="416">
        <v>20136</v>
      </c>
      <c r="B205" s="426" t="s">
        <v>276</v>
      </c>
      <c r="C205" s="346">
        <f>SUM(C206:C210)</f>
        <v>322.620821</v>
      </c>
      <c r="D205" s="346">
        <f t="shared" ref="D205:I205" si="82">SUM(D206:D210)</f>
        <v>310.799577</v>
      </c>
      <c r="E205" s="346">
        <f t="shared" si="82"/>
        <v>335</v>
      </c>
      <c r="F205" s="414">
        <f t="shared" ref="F205:F207" si="83">E205/D205*100</f>
        <v>107.786504484207</v>
      </c>
      <c r="G205" s="346">
        <f t="shared" si="80"/>
        <v>12.379179</v>
      </c>
      <c r="H205" s="414">
        <f t="shared" ref="H205:H207" si="84">G205/C205*100</f>
        <v>3.8370676020318</v>
      </c>
      <c r="I205" s="346">
        <f t="shared" si="82"/>
        <v>415.85</v>
      </c>
      <c r="J205" s="307">
        <f t="shared" si="81"/>
        <v>105.050423</v>
      </c>
      <c r="K205" s="306">
        <f t="shared" ref="K205:K207" si="85">J205/D205*100</f>
        <v>33.8000534022606</v>
      </c>
      <c r="M205">
        <f t="shared" si="63"/>
        <v>0</v>
      </c>
      <c r="N205" s="415"/>
      <c r="O205" s="415"/>
    </row>
    <row r="206" customFormat="1" ht="20" customHeight="1" spans="1:17">
      <c r="A206" s="418">
        <v>2013601</v>
      </c>
      <c r="B206" s="421" t="s">
        <v>165</v>
      </c>
      <c r="C206" s="307">
        <v>220.954097</v>
      </c>
      <c r="D206" s="343">
        <v>219.966024</v>
      </c>
      <c r="E206" s="423">
        <v>239</v>
      </c>
      <c r="F206" s="414">
        <f t="shared" si="83"/>
        <v>108.653143632764</v>
      </c>
      <c r="G206" s="346">
        <f t="shared" si="80"/>
        <v>18.045903</v>
      </c>
      <c r="H206" s="414">
        <f t="shared" si="84"/>
        <v>8.16726335696776</v>
      </c>
      <c r="I206" s="343">
        <v>227.58</v>
      </c>
      <c r="J206" s="307">
        <f t="shared" si="81"/>
        <v>7.61397600000001</v>
      </c>
      <c r="K206" s="306">
        <f t="shared" si="85"/>
        <v>3.46143275290552</v>
      </c>
      <c r="M206">
        <f t="shared" si="63"/>
        <v>197</v>
      </c>
      <c r="N206" s="415">
        <v>197</v>
      </c>
      <c r="O206" s="415"/>
    </row>
    <row r="207" customFormat="1" ht="20" customHeight="1" spans="1:17">
      <c r="A207" s="418">
        <v>2013602</v>
      </c>
      <c r="B207" s="421" t="s">
        <v>166</v>
      </c>
      <c r="C207" s="307">
        <v>101.666724</v>
      </c>
      <c r="D207" s="343">
        <v>90.833553</v>
      </c>
      <c r="E207" s="423">
        <v>96</v>
      </c>
      <c r="F207" s="414">
        <f t="shared" si="83"/>
        <v>105.687817804507</v>
      </c>
      <c r="G207" s="346">
        <f t="shared" si="80"/>
        <v>-5.666724</v>
      </c>
      <c r="H207" s="414">
        <f t="shared" si="84"/>
        <v>-5.57382374197481</v>
      </c>
      <c r="I207" s="343">
        <v>188.27</v>
      </c>
      <c r="J207" s="307">
        <f t="shared" si="81"/>
        <v>97.436447</v>
      </c>
      <c r="K207" s="306">
        <f t="shared" si="85"/>
        <v>107.269223521401</v>
      </c>
      <c r="M207">
        <f t="shared" si="63"/>
        <v>178</v>
      </c>
      <c r="N207" s="415">
        <v>178</v>
      </c>
      <c r="O207" s="415"/>
    </row>
    <row r="208" customFormat="1" ht="20" customHeight="1" spans="1:17">
      <c r="A208" s="418">
        <v>2013603</v>
      </c>
      <c r="B208" s="419" t="s">
        <v>167</v>
      </c>
      <c r="C208" s="307">
        <v>0</v>
      </c>
      <c r="D208" s="343"/>
      <c r="E208" s="423"/>
      <c r="F208" s="414"/>
      <c r="G208" s="346">
        <f t="shared" si="80"/>
        <v>0</v>
      </c>
      <c r="H208" s="414"/>
      <c r="I208" s="343"/>
      <c r="J208" s="307">
        <f t="shared" si="81"/>
        <v>0</v>
      </c>
      <c r="K208" s="306"/>
      <c r="M208">
        <f t="shared" si="63"/>
        <v>0</v>
      </c>
      <c r="N208" s="415"/>
      <c r="O208" s="415"/>
    </row>
    <row r="209" customFormat="1" ht="20" customHeight="1" spans="1:16">
      <c r="A209" s="418">
        <v>2013650</v>
      </c>
      <c r="B209" s="419" t="s">
        <v>174</v>
      </c>
      <c r="C209" s="307">
        <v>0</v>
      </c>
      <c r="D209" s="343"/>
      <c r="E209" s="423"/>
      <c r="F209" s="414"/>
      <c r="G209" s="346">
        <f t="shared" si="80"/>
        <v>0</v>
      </c>
      <c r="H209" s="414"/>
      <c r="I209" s="343"/>
      <c r="J209" s="307">
        <f t="shared" si="81"/>
        <v>0</v>
      </c>
      <c r="K209" s="306"/>
      <c r="M209">
        <f t="shared" si="63"/>
        <v>0</v>
      </c>
      <c r="N209" s="415"/>
      <c r="O209" s="415"/>
    </row>
    <row r="210" customFormat="1" ht="20" customHeight="1" spans="1:16">
      <c r="A210" s="418">
        <v>2013699</v>
      </c>
      <c r="B210" s="419" t="s">
        <v>277</v>
      </c>
      <c r="C210" s="307">
        <v>0</v>
      </c>
      <c r="D210" s="343"/>
      <c r="E210" s="423"/>
      <c r="F210" s="414"/>
      <c r="G210" s="346">
        <f t="shared" si="80"/>
        <v>0</v>
      </c>
      <c r="H210" s="414"/>
      <c r="I210" s="343"/>
      <c r="J210" s="307">
        <f t="shared" si="81"/>
        <v>0</v>
      </c>
      <c r="K210" s="306"/>
      <c r="M210">
        <f t="shared" si="63"/>
        <v>0</v>
      </c>
      <c r="N210" s="415"/>
      <c r="O210" s="415"/>
    </row>
    <row r="211" customFormat="1" ht="20" customHeight="1" spans="1:16">
      <c r="A211" s="416">
        <v>20137</v>
      </c>
      <c r="B211" s="426" t="s">
        <v>278</v>
      </c>
      <c r="C211" s="346">
        <v>0</v>
      </c>
      <c r="D211" s="346"/>
      <c r="E211" s="346">
        <v>0</v>
      </c>
      <c r="F211" s="414"/>
      <c r="G211" s="346">
        <f t="shared" si="80"/>
        <v>0</v>
      </c>
      <c r="H211" s="414"/>
      <c r="I211" s="346"/>
      <c r="J211" s="307">
        <f t="shared" si="81"/>
        <v>0</v>
      </c>
      <c r="K211" s="306"/>
      <c r="M211">
        <f t="shared" si="63"/>
        <v>0</v>
      </c>
      <c r="N211" s="415"/>
      <c r="O211" s="415"/>
    </row>
    <row r="212" customFormat="1" ht="20" customHeight="1" spans="1:16">
      <c r="A212" s="418">
        <v>2013701</v>
      </c>
      <c r="B212" s="421" t="s">
        <v>165</v>
      </c>
      <c r="C212" s="307">
        <v>0</v>
      </c>
      <c r="D212" s="343"/>
      <c r="E212" s="307">
        <v>0</v>
      </c>
      <c r="F212" s="414"/>
      <c r="G212" s="346">
        <f t="shared" si="80"/>
        <v>0</v>
      </c>
      <c r="H212" s="414"/>
      <c r="I212" s="343"/>
      <c r="J212" s="307">
        <f t="shared" si="81"/>
        <v>0</v>
      </c>
      <c r="K212" s="306"/>
      <c r="M212">
        <f t="shared" si="63"/>
        <v>0</v>
      </c>
      <c r="N212" s="415"/>
      <c r="O212" s="415"/>
    </row>
    <row r="213" customFormat="1" ht="20" customHeight="1" spans="1:16">
      <c r="A213" s="418">
        <v>2013702</v>
      </c>
      <c r="B213" s="421" t="s">
        <v>166</v>
      </c>
      <c r="C213" s="307">
        <v>0</v>
      </c>
      <c r="D213" s="343"/>
      <c r="E213" s="307">
        <v>0</v>
      </c>
      <c r="F213" s="414"/>
      <c r="G213" s="346">
        <f t="shared" si="80"/>
        <v>0</v>
      </c>
      <c r="H213" s="414"/>
      <c r="I213" s="343"/>
      <c r="J213" s="307">
        <f t="shared" si="81"/>
        <v>0</v>
      </c>
      <c r="K213" s="306"/>
      <c r="M213">
        <f t="shared" si="63"/>
        <v>0</v>
      </c>
      <c r="N213" s="415"/>
      <c r="O213" s="415"/>
    </row>
    <row r="214" customFormat="1" ht="20" customHeight="1" spans="1:16">
      <c r="A214" s="418">
        <v>2013703</v>
      </c>
      <c r="B214" s="419" t="s">
        <v>167</v>
      </c>
      <c r="C214" s="307">
        <v>0</v>
      </c>
      <c r="D214" s="343"/>
      <c r="E214" s="307">
        <v>0</v>
      </c>
      <c r="F214" s="414"/>
      <c r="G214" s="346">
        <f t="shared" si="80"/>
        <v>0</v>
      </c>
      <c r="H214" s="414"/>
      <c r="I214" s="343"/>
      <c r="J214" s="307">
        <f t="shared" si="81"/>
        <v>0</v>
      </c>
      <c r="K214" s="306"/>
      <c r="M214">
        <f t="shared" si="63"/>
        <v>0</v>
      </c>
      <c r="N214" s="415"/>
      <c r="O214" s="415"/>
    </row>
    <row r="215" customFormat="1" ht="20" customHeight="1" spans="1:16">
      <c r="A215" s="418">
        <v>2013750</v>
      </c>
      <c r="B215" s="419" t="s">
        <v>174</v>
      </c>
      <c r="C215" s="307">
        <v>0</v>
      </c>
      <c r="D215" s="343"/>
      <c r="E215" s="307">
        <v>0</v>
      </c>
      <c r="F215" s="414"/>
      <c r="G215" s="346">
        <f t="shared" si="80"/>
        <v>0</v>
      </c>
      <c r="H215" s="414"/>
      <c r="I215" s="343"/>
      <c r="J215" s="307">
        <f t="shared" si="81"/>
        <v>0</v>
      </c>
      <c r="K215" s="306"/>
      <c r="M215">
        <f t="shared" si="63"/>
        <v>0</v>
      </c>
      <c r="N215" s="415"/>
      <c r="O215" s="415"/>
    </row>
    <row r="216" customFormat="1" ht="20" customHeight="1" spans="1:16">
      <c r="A216" s="418">
        <v>2013799</v>
      </c>
      <c r="B216" s="419" t="s">
        <v>279</v>
      </c>
      <c r="C216" s="307">
        <v>0</v>
      </c>
      <c r="D216" s="343"/>
      <c r="E216" s="307">
        <v>0</v>
      </c>
      <c r="F216" s="414"/>
      <c r="G216" s="346">
        <f t="shared" si="80"/>
        <v>0</v>
      </c>
      <c r="H216" s="414"/>
      <c r="I216" s="343"/>
      <c r="J216" s="307">
        <f t="shared" si="81"/>
        <v>0</v>
      </c>
      <c r="K216" s="306"/>
      <c r="M216">
        <f t="shared" si="63"/>
        <v>0</v>
      </c>
      <c r="N216" s="415"/>
      <c r="O216" s="415"/>
    </row>
    <row r="217" customFormat="1" ht="20" customHeight="1" spans="1:16">
      <c r="A217" s="416">
        <v>20138</v>
      </c>
      <c r="B217" s="426" t="s">
        <v>280</v>
      </c>
      <c r="C217" s="346">
        <f>SUM(C218:C231)</f>
        <v>1728.05817</v>
      </c>
      <c r="D217" s="346">
        <f t="shared" ref="D217:I217" si="86">SUM(D218:D231)</f>
        <v>1653.364121</v>
      </c>
      <c r="E217" s="346">
        <f t="shared" si="86"/>
        <v>1752</v>
      </c>
      <c r="F217" s="414">
        <f t="shared" ref="F217:F219" si="87">E217/D217*100</f>
        <v>105.965768686231</v>
      </c>
      <c r="G217" s="346">
        <f t="shared" si="80"/>
        <v>23.94183</v>
      </c>
      <c r="H217" s="414">
        <f t="shared" ref="H217:H219" si="88">G217/C217*100</f>
        <v>1.38547592989882</v>
      </c>
      <c r="I217" s="346">
        <f t="shared" si="86"/>
        <v>1601.811942</v>
      </c>
      <c r="J217" s="307">
        <f t="shared" si="81"/>
        <v>-51.552179</v>
      </c>
      <c r="K217" s="306">
        <f t="shared" ref="K217:K219" si="89">J217/D217*100</f>
        <v>-3.11801728035684</v>
      </c>
      <c r="M217">
        <f t="shared" si="63"/>
        <v>0</v>
      </c>
      <c r="N217" s="415"/>
      <c r="O217" s="415"/>
    </row>
    <row r="218" customFormat="1" ht="20" customHeight="1" spans="1:16">
      <c r="A218" s="418">
        <v>2013801</v>
      </c>
      <c r="B218" s="421" t="s">
        <v>165</v>
      </c>
      <c r="C218" s="307">
        <v>1364.467102</v>
      </c>
      <c r="D218" s="343">
        <v>1419.400106</v>
      </c>
      <c r="E218" s="307">
        <v>1404</v>
      </c>
      <c r="F218" s="414">
        <f t="shared" si="87"/>
        <v>98.9150271347098</v>
      </c>
      <c r="G218" s="346">
        <f t="shared" si="80"/>
        <v>39.5328979999999</v>
      </c>
      <c r="H218" s="414">
        <f t="shared" si="88"/>
        <v>2.89731411934034</v>
      </c>
      <c r="I218" s="343">
        <v>1295.25</v>
      </c>
      <c r="J218" s="307">
        <f t="shared" si="81"/>
        <v>-124.150106</v>
      </c>
      <c r="K218" s="306">
        <f t="shared" si="89"/>
        <v>-8.74666033031845</v>
      </c>
      <c r="M218">
        <f t="shared" si="63"/>
        <v>1427</v>
      </c>
      <c r="N218" s="415">
        <v>1427</v>
      </c>
      <c r="O218" s="415"/>
    </row>
    <row r="219" customFormat="1" ht="20" customHeight="1" spans="1:16">
      <c r="A219" s="418">
        <v>2013802</v>
      </c>
      <c r="B219" s="421" t="s">
        <v>166</v>
      </c>
      <c r="C219" s="307">
        <v>134.680047</v>
      </c>
      <c r="D219" s="425">
        <f>22.113669+35</f>
        <v>57.113669</v>
      </c>
      <c r="E219" s="307">
        <v>134</v>
      </c>
      <c r="F219" s="414">
        <f t="shared" si="87"/>
        <v>234.619842055673</v>
      </c>
      <c r="G219" s="346">
        <f t="shared" si="80"/>
        <v>-0.680047000000002</v>
      </c>
      <c r="H219" s="414">
        <f t="shared" si="88"/>
        <v>-0.504935226225457</v>
      </c>
      <c r="I219" s="420">
        <v>69.773942</v>
      </c>
      <c r="J219" s="307">
        <f t="shared" si="81"/>
        <v>12.660273</v>
      </c>
      <c r="K219" s="306">
        <f t="shared" si="89"/>
        <v>22.1668003853859</v>
      </c>
      <c r="M219">
        <f t="shared" si="63"/>
        <v>38</v>
      </c>
      <c r="N219" s="415">
        <v>38</v>
      </c>
      <c r="O219" s="415"/>
      <c r="P219">
        <v>35</v>
      </c>
    </row>
    <row r="220" customFormat="1" ht="20" customHeight="1" spans="1:16">
      <c r="A220" s="418">
        <v>2013803</v>
      </c>
      <c r="B220" s="419" t="s">
        <v>167</v>
      </c>
      <c r="C220" s="307">
        <v>0</v>
      </c>
      <c r="D220" s="343"/>
      <c r="E220" s="307">
        <v>0</v>
      </c>
      <c r="F220" s="414"/>
      <c r="G220" s="346">
        <f t="shared" si="80"/>
        <v>0</v>
      </c>
      <c r="H220" s="414"/>
      <c r="I220" s="343"/>
      <c r="J220" s="307">
        <f t="shared" si="81"/>
        <v>0</v>
      </c>
      <c r="K220" s="306"/>
      <c r="M220">
        <f t="shared" si="63"/>
        <v>0</v>
      </c>
      <c r="N220" s="415"/>
      <c r="O220" s="415"/>
    </row>
    <row r="221" customFormat="1" ht="20" customHeight="1" spans="1:16">
      <c r="A221" s="418">
        <v>2013804</v>
      </c>
      <c r="B221" s="421" t="s">
        <v>281</v>
      </c>
      <c r="C221" s="307">
        <v>0</v>
      </c>
      <c r="D221" s="343"/>
      <c r="E221" s="307">
        <v>0</v>
      </c>
      <c r="F221" s="414"/>
      <c r="G221" s="346">
        <f t="shared" si="80"/>
        <v>0</v>
      </c>
      <c r="H221" s="414"/>
      <c r="I221" s="343"/>
      <c r="J221" s="307">
        <f t="shared" si="81"/>
        <v>0</v>
      </c>
      <c r="K221" s="306"/>
      <c r="M221">
        <f t="shared" si="63"/>
        <v>0</v>
      </c>
      <c r="N221" s="415"/>
      <c r="O221" s="415"/>
    </row>
    <row r="222" customFormat="1" ht="20" customHeight="1" spans="1:16">
      <c r="A222" s="418">
        <v>2013805</v>
      </c>
      <c r="B222" s="421" t="s">
        <v>282</v>
      </c>
      <c r="C222" s="307">
        <v>0</v>
      </c>
      <c r="D222" s="343"/>
      <c r="E222" s="307">
        <v>18</v>
      </c>
      <c r="F222" s="414"/>
      <c r="G222" s="346">
        <f t="shared" si="80"/>
        <v>18</v>
      </c>
      <c r="H222" s="414"/>
      <c r="I222" s="343">
        <v>0.028</v>
      </c>
      <c r="J222" s="307">
        <f t="shared" si="81"/>
        <v>0.028</v>
      </c>
      <c r="K222" s="306"/>
      <c r="M222">
        <f t="shared" si="63"/>
        <v>0</v>
      </c>
      <c r="N222" s="415"/>
      <c r="O222" s="415"/>
    </row>
    <row r="223" customFormat="1" ht="20" customHeight="1" spans="1:16">
      <c r="A223" s="418">
        <v>2013808</v>
      </c>
      <c r="B223" s="421" t="s">
        <v>207</v>
      </c>
      <c r="C223" s="307">
        <v>0</v>
      </c>
      <c r="D223" s="343"/>
      <c r="E223" s="307">
        <v>0</v>
      </c>
      <c r="F223" s="414"/>
      <c r="G223" s="346">
        <f t="shared" si="80"/>
        <v>0</v>
      </c>
      <c r="H223" s="414"/>
      <c r="I223" s="343"/>
      <c r="J223" s="307">
        <f t="shared" si="81"/>
        <v>0</v>
      </c>
      <c r="K223" s="306"/>
      <c r="M223">
        <f t="shared" si="63"/>
        <v>0</v>
      </c>
      <c r="N223" s="415"/>
      <c r="O223" s="415"/>
    </row>
    <row r="224" customFormat="1" ht="20" customHeight="1" spans="1:16">
      <c r="A224" s="418">
        <v>2013810</v>
      </c>
      <c r="B224" s="421" t="s">
        <v>283</v>
      </c>
      <c r="C224" s="307">
        <v>0</v>
      </c>
      <c r="D224" s="343"/>
      <c r="E224" s="307">
        <v>0</v>
      </c>
      <c r="F224" s="414"/>
      <c r="G224" s="346">
        <f t="shared" si="80"/>
        <v>0</v>
      </c>
      <c r="H224" s="414"/>
      <c r="I224" s="343"/>
      <c r="J224" s="307">
        <f t="shared" si="81"/>
        <v>0</v>
      </c>
      <c r="K224" s="306"/>
      <c r="M224">
        <f t="shared" si="63"/>
        <v>0</v>
      </c>
      <c r="N224" s="415"/>
      <c r="O224" s="415"/>
    </row>
    <row r="225" customFormat="1" ht="20" customHeight="1" spans="1:15">
      <c r="A225" s="418">
        <v>2013812</v>
      </c>
      <c r="B225" s="421" t="s">
        <v>284</v>
      </c>
      <c r="C225" s="307">
        <v>0</v>
      </c>
      <c r="D225" s="343">
        <v>5</v>
      </c>
      <c r="E225" s="307">
        <v>5</v>
      </c>
      <c r="F225" s="414">
        <f>E225/D225*100</f>
        <v>100</v>
      </c>
      <c r="G225" s="346">
        <f t="shared" si="80"/>
        <v>5</v>
      </c>
      <c r="H225" s="414"/>
      <c r="I225" s="343">
        <v>5</v>
      </c>
      <c r="J225" s="307">
        <f t="shared" si="81"/>
        <v>0</v>
      </c>
      <c r="K225" s="306">
        <f>J225/D225*100</f>
        <v>0</v>
      </c>
      <c r="M225">
        <f t="shared" si="63"/>
        <v>0</v>
      </c>
      <c r="N225" s="415"/>
      <c r="O225" s="415"/>
    </row>
    <row r="226" customFormat="1" ht="20" customHeight="1" spans="1:15">
      <c r="A226" s="418">
        <v>2013813</v>
      </c>
      <c r="B226" s="419" t="s">
        <v>285</v>
      </c>
      <c r="C226" s="307">
        <v>0</v>
      </c>
      <c r="D226" s="343"/>
      <c r="E226" s="307">
        <v>0</v>
      </c>
      <c r="F226" s="414"/>
      <c r="G226" s="346">
        <f t="shared" si="80"/>
        <v>0</v>
      </c>
      <c r="H226" s="414"/>
      <c r="I226" s="343"/>
      <c r="J226" s="307">
        <f t="shared" si="81"/>
        <v>0</v>
      </c>
      <c r="K226" s="306"/>
      <c r="M226">
        <f t="shared" si="63"/>
        <v>0</v>
      </c>
      <c r="N226" s="415"/>
      <c r="O226" s="415"/>
    </row>
    <row r="227" customFormat="1" ht="20" customHeight="1" spans="1:15">
      <c r="A227" s="418">
        <v>2013814</v>
      </c>
      <c r="B227" s="419" t="s">
        <v>286</v>
      </c>
      <c r="C227" s="307">
        <v>0</v>
      </c>
      <c r="D227" s="343"/>
      <c r="E227" s="307">
        <v>0</v>
      </c>
      <c r="F227" s="414"/>
      <c r="G227" s="346">
        <f t="shared" si="80"/>
        <v>0</v>
      </c>
      <c r="H227" s="414"/>
      <c r="I227" s="343"/>
      <c r="J227" s="307">
        <f t="shared" si="81"/>
        <v>0</v>
      </c>
      <c r="K227" s="306"/>
      <c r="M227">
        <f t="shared" si="63"/>
        <v>0</v>
      </c>
      <c r="N227" s="415"/>
      <c r="O227" s="415"/>
    </row>
    <row r="228" customFormat="1" ht="20" customHeight="1" spans="1:15">
      <c r="A228" s="418">
        <v>2013815</v>
      </c>
      <c r="B228" s="421" t="s">
        <v>287</v>
      </c>
      <c r="C228" s="307">
        <v>0</v>
      </c>
      <c r="D228" s="343"/>
      <c r="E228" s="307">
        <v>0</v>
      </c>
      <c r="F228" s="414"/>
      <c r="G228" s="346">
        <f t="shared" si="80"/>
        <v>0</v>
      </c>
      <c r="H228" s="414"/>
      <c r="I228" s="343"/>
      <c r="J228" s="307">
        <f t="shared" si="81"/>
        <v>0</v>
      </c>
      <c r="K228" s="306"/>
      <c r="M228">
        <f t="shared" ref="M228:M235" si="90">N228+O228</f>
        <v>0</v>
      </c>
      <c r="N228" s="415"/>
      <c r="O228" s="415"/>
    </row>
    <row r="229" customFormat="1" ht="20" customHeight="1" spans="1:15">
      <c r="A229" s="418">
        <v>2013816</v>
      </c>
      <c r="B229" s="421" t="s">
        <v>288</v>
      </c>
      <c r="C229" s="307">
        <v>0</v>
      </c>
      <c r="D229" s="343"/>
      <c r="E229" s="307">
        <v>0</v>
      </c>
      <c r="F229" s="414"/>
      <c r="G229" s="346">
        <f t="shared" si="80"/>
        <v>0</v>
      </c>
      <c r="H229" s="414"/>
      <c r="I229" s="343"/>
      <c r="J229" s="307">
        <f t="shared" si="81"/>
        <v>0</v>
      </c>
      <c r="K229" s="306"/>
      <c r="M229">
        <f t="shared" si="90"/>
        <v>0</v>
      </c>
      <c r="N229" s="415"/>
      <c r="O229" s="415"/>
    </row>
    <row r="230" customFormat="1" ht="20" customHeight="1" spans="1:15">
      <c r="A230" s="418">
        <v>2013850</v>
      </c>
      <c r="B230" s="419" t="s">
        <v>174</v>
      </c>
      <c r="C230" s="307">
        <v>225.414521</v>
      </c>
      <c r="D230" s="343">
        <v>171.850346</v>
      </c>
      <c r="E230" s="307">
        <v>191</v>
      </c>
      <c r="F230" s="414">
        <f t="shared" ref="F230:F234" si="91">E230/D230*100</f>
        <v>111.143215271734</v>
      </c>
      <c r="G230" s="346">
        <f t="shared" si="80"/>
        <v>-34.414521</v>
      </c>
      <c r="H230" s="414">
        <f t="shared" ref="H230:H234" si="92">G230/C230*100</f>
        <v>-15.2672156378071</v>
      </c>
      <c r="I230" s="343">
        <v>201.76</v>
      </c>
      <c r="J230" s="307">
        <f t="shared" si="81"/>
        <v>29.909654</v>
      </c>
      <c r="K230" s="306">
        <f t="shared" ref="K230:K234" si="93">J230/D230*100</f>
        <v>17.4044770325921</v>
      </c>
      <c r="M230">
        <f t="shared" si="90"/>
        <v>144</v>
      </c>
      <c r="N230" s="415">
        <v>144</v>
      </c>
      <c r="O230" s="415"/>
    </row>
    <row r="231" customFormat="1" ht="20" customHeight="1" spans="1:15">
      <c r="A231" s="418">
        <v>2013899</v>
      </c>
      <c r="B231" s="421" t="s">
        <v>289</v>
      </c>
      <c r="C231" s="307">
        <v>3.4965</v>
      </c>
      <c r="D231" s="343"/>
      <c r="E231" s="307"/>
      <c r="F231" s="414"/>
      <c r="G231" s="346">
        <f t="shared" si="80"/>
        <v>-3.4965</v>
      </c>
      <c r="H231" s="414">
        <f t="shared" si="92"/>
        <v>-100</v>
      </c>
      <c r="I231" s="343">
        <v>30</v>
      </c>
      <c r="J231" s="307">
        <f t="shared" si="81"/>
        <v>30</v>
      </c>
      <c r="K231" s="306"/>
      <c r="M231">
        <f t="shared" si="90"/>
        <v>0</v>
      </c>
      <c r="N231" s="415"/>
      <c r="O231" s="415"/>
    </row>
    <row r="232" customFormat="1" ht="20" customHeight="1" spans="1:15">
      <c r="A232" s="416">
        <v>20139</v>
      </c>
      <c r="B232" s="426" t="s">
        <v>290</v>
      </c>
      <c r="C232" s="346">
        <f>SUM(C233:C238)</f>
        <v>12.408622</v>
      </c>
      <c r="D232" s="346">
        <f t="shared" ref="D232:I232" si="94">SUM(D233:D238)</f>
        <v>99.430529</v>
      </c>
      <c r="E232" s="346">
        <f t="shared" si="94"/>
        <v>169</v>
      </c>
      <c r="F232" s="414">
        <f t="shared" si="91"/>
        <v>169.967918002327</v>
      </c>
      <c r="G232" s="346">
        <f t="shared" si="80"/>
        <v>156.591378</v>
      </c>
      <c r="H232" s="414">
        <f t="shared" si="92"/>
        <v>1261.95622688805</v>
      </c>
      <c r="I232" s="346">
        <f t="shared" si="94"/>
        <v>277.030239</v>
      </c>
      <c r="J232" s="307">
        <f t="shared" si="81"/>
        <v>177.59971</v>
      </c>
      <c r="K232" s="306">
        <f t="shared" si="93"/>
        <v>178.616881340338</v>
      </c>
      <c r="M232">
        <f t="shared" si="90"/>
        <v>0</v>
      </c>
      <c r="N232" s="415"/>
      <c r="O232" s="415"/>
    </row>
    <row r="233" customFormat="1" ht="20" customHeight="1" spans="1:15">
      <c r="A233" s="418">
        <v>2013901</v>
      </c>
      <c r="B233" s="421" t="s">
        <v>165</v>
      </c>
      <c r="C233" s="307">
        <v>6.917364</v>
      </c>
      <c r="D233" s="425">
        <v>46.182141</v>
      </c>
      <c r="E233" s="307">
        <v>75</v>
      </c>
      <c r="F233" s="414">
        <f t="shared" si="91"/>
        <v>162.400439598502</v>
      </c>
      <c r="G233" s="346">
        <f t="shared" si="80"/>
        <v>68.082636</v>
      </c>
      <c r="H233" s="414">
        <f t="shared" si="92"/>
        <v>984.228038310547</v>
      </c>
      <c r="I233" s="420">
        <v>68.730097</v>
      </c>
      <c r="J233" s="307">
        <f t="shared" si="81"/>
        <v>22.547956</v>
      </c>
      <c r="K233" s="306">
        <f t="shared" si="93"/>
        <v>48.8239728859691</v>
      </c>
      <c r="M233">
        <f t="shared" si="90"/>
        <v>0</v>
      </c>
      <c r="N233" s="415"/>
      <c r="O233" s="415"/>
    </row>
    <row r="234" customFormat="1" ht="20" customHeight="1" spans="1:15">
      <c r="A234" s="418">
        <v>2013902</v>
      </c>
      <c r="B234" s="421" t="s">
        <v>166</v>
      </c>
      <c r="C234" s="307">
        <v>3.010884</v>
      </c>
      <c r="D234" s="425">
        <f>13.963613+11.57</f>
        <v>25.533613</v>
      </c>
      <c r="E234" s="307">
        <v>51</v>
      </c>
      <c r="F234" s="414">
        <f t="shared" si="91"/>
        <v>199.736715677488</v>
      </c>
      <c r="G234" s="346">
        <f t="shared" si="80"/>
        <v>47.989116</v>
      </c>
      <c r="H234" s="414">
        <f t="shared" si="92"/>
        <v>1593.85469516594</v>
      </c>
      <c r="I234" s="420">
        <v>61.084313</v>
      </c>
      <c r="J234" s="307">
        <f t="shared" si="81"/>
        <v>35.5507</v>
      </c>
      <c r="K234" s="306">
        <f t="shared" si="93"/>
        <v>139.230981530111</v>
      </c>
      <c r="M234">
        <f t="shared" si="90"/>
        <v>0</v>
      </c>
      <c r="N234" s="415"/>
      <c r="O234" s="415"/>
    </row>
    <row r="235" customFormat="1" ht="20" customHeight="1" spans="1:15">
      <c r="A235" s="418">
        <v>2013903</v>
      </c>
      <c r="B235" s="419" t="s">
        <v>167</v>
      </c>
      <c r="C235" s="307">
        <v>0</v>
      </c>
      <c r="D235" s="343"/>
      <c r="E235" s="307">
        <v>0</v>
      </c>
      <c r="F235" s="414"/>
      <c r="G235" s="346">
        <f t="shared" si="80"/>
        <v>0</v>
      </c>
      <c r="H235" s="414"/>
      <c r="I235" s="343"/>
      <c r="J235" s="307">
        <f t="shared" si="81"/>
        <v>0</v>
      </c>
      <c r="K235" s="306"/>
      <c r="M235">
        <f t="shared" si="90"/>
        <v>0</v>
      </c>
      <c r="N235" s="415"/>
      <c r="O235" s="415"/>
    </row>
    <row r="236" customFormat="1" ht="20" customHeight="1" spans="1:15">
      <c r="A236" s="418" t="s">
        <v>291</v>
      </c>
      <c r="B236" s="419" t="s">
        <v>262</v>
      </c>
      <c r="C236" s="307"/>
      <c r="D236" s="425">
        <v>1</v>
      </c>
      <c r="E236" s="307"/>
      <c r="F236" s="414">
        <f t="shared" ref="F236:F241" si="95">E236/D236*100</f>
        <v>0</v>
      </c>
      <c r="G236" s="346">
        <f t="shared" si="80"/>
        <v>0</v>
      </c>
      <c r="H236" s="414"/>
      <c r="I236" s="420">
        <f>100+11.36</f>
        <v>111.36</v>
      </c>
      <c r="J236" s="307">
        <f t="shared" si="81"/>
        <v>110.36</v>
      </c>
      <c r="K236" s="306">
        <f t="shared" ref="K236:K241" si="96">J236/D236*100</f>
        <v>11036</v>
      </c>
      <c r="N236" s="415"/>
      <c r="O236" s="415"/>
    </row>
    <row r="237" customFormat="1" ht="20" customHeight="1" spans="1:15">
      <c r="A237" s="418">
        <v>2013950</v>
      </c>
      <c r="B237" s="419" t="s">
        <v>174</v>
      </c>
      <c r="C237" s="307">
        <v>2.480374</v>
      </c>
      <c r="D237" s="343">
        <v>26.714775</v>
      </c>
      <c r="E237" s="307">
        <v>43</v>
      </c>
      <c r="F237" s="414">
        <f t="shared" si="95"/>
        <v>160.959618787731</v>
      </c>
      <c r="G237" s="346">
        <f t="shared" si="80"/>
        <v>40.519626</v>
      </c>
      <c r="H237" s="414">
        <f t="shared" ref="H237:H240" si="97">G237/C237*100</f>
        <v>1633.6095282405</v>
      </c>
      <c r="I237" s="420">
        <v>35.855829</v>
      </c>
      <c r="J237" s="307">
        <f t="shared" si="81"/>
        <v>9.141054</v>
      </c>
      <c r="K237" s="306">
        <f t="shared" si="96"/>
        <v>34.2172224920479</v>
      </c>
      <c r="M237">
        <f t="shared" ref="M237:M300" si="98">N237+O237</f>
        <v>0</v>
      </c>
      <c r="N237" s="415"/>
      <c r="O237" s="415"/>
    </row>
    <row r="238" customFormat="1" ht="20" customHeight="1" spans="1:15">
      <c r="A238" s="418">
        <v>2013999</v>
      </c>
      <c r="B238" s="419" t="s">
        <v>292</v>
      </c>
      <c r="C238" s="307">
        <v>0</v>
      </c>
      <c r="D238" s="343"/>
      <c r="E238" s="307">
        <v>0</v>
      </c>
      <c r="F238" s="414"/>
      <c r="G238" s="346">
        <f t="shared" si="80"/>
        <v>0</v>
      </c>
      <c r="H238" s="414"/>
      <c r="I238" s="343"/>
      <c r="J238" s="307">
        <f t="shared" si="81"/>
        <v>0</v>
      </c>
      <c r="K238" s="306"/>
      <c r="M238">
        <f t="shared" si="98"/>
        <v>0</v>
      </c>
      <c r="N238" s="415"/>
      <c r="O238" s="415"/>
    </row>
    <row r="239" customFormat="1" ht="20" customHeight="1" spans="1:15">
      <c r="A239" s="416">
        <v>20140</v>
      </c>
      <c r="B239" s="426" t="s">
        <v>293</v>
      </c>
      <c r="C239" s="346">
        <f>SUM(C240:C244)</f>
        <v>35.3402</v>
      </c>
      <c r="D239" s="346">
        <f t="shared" ref="D239:I239" si="99">SUM(D240:D244)</f>
        <v>123.232567</v>
      </c>
      <c r="E239" s="346">
        <f t="shared" si="99"/>
        <v>116</v>
      </c>
      <c r="F239" s="414">
        <f t="shared" si="95"/>
        <v>94.1309613391402</v>
      </c>
      <c r="G239" s="346">
        <f t="shared" si="80"/>
        <v>80.6598</v>
      </c>
      <c r="H239" s="414">
        <f t="shared" si="97"/>
        <v>228.238097124521</v>
      </c>
      <c r="I239" s="346">
        <f t="shared" si="99"/>
        <v>103.401405</v>
      </c>
      <c r="J239" s="307">
        <f t="shared" si="81"/>
        <v>-19.831162</v>
      </c>
      <c r="K239" s="306">
        <f t="shared" si="96"/>
        <v>-16.0924684787261</v>
      </c>
      <c r="M239">
        <f t="shared" si="98"/>
        <v>0</v>
      </c>
      <c r="N239" s="415"/>
      <c r="O239" s="415"/>
    </row>
    <row r="240" customFormat="1" ht="20" customHeight="1" spans="1:15">
      <c r="A240" s="418">
        <v>2014001</v>
      </c>
      <c r="B240" s="421" t="s">
        <v>165</v>
      </c>
      <c r="C240" s="307">
        <v>9.6402</v>
      </c>
      <c r="D240" s="425">
        <v>77.447292</v>
      </c>
      <c r="E240" s="307">
        <v>79</v>
      </c>
      <c r="F240" s="414">
        <f t="shared" si="95"/>
        <v>102.00485770374</v>
      </c>
      <c r="G240" s="346">
        <f t="shared" si="80"/>
        <v>69.3598</v>
      </c>
      <c r="H240" s="414">
        <f t="shared" si="97"/>
        <v>719.485072923798</v>
      </c>
      <c r="I240" s="420">
        <v>90.751405</v>
      </c>
      <c r="J240" s="307">
        <f t="shared" si="81"/>
        <v>13.304113</v>
      </c>
      <c r="K240" s="306">
        <f t="shared" si="96"/>
        <v>17.1782804232845</v>
      </c>
      <c r="M240">
        <f t="shared" si="98"/>
        <v>0</v>
      </c>
      <c r="N240" s="415"/>
      <c r="O240" s="415"/>
    </row>
    <row r="241" customFormat="1" ht="20" customHeight="1" spans="1:15">
      <c r="A241" s="418">
        <v>2014002</v>
      </c>
      <c r="B241" s="421" t="s">
        <v>166</v>
      </c>
      <c r="C241" s="307">
        <v>0</v>
      </c>
      <c r="D241" s="425">
        <v>20.085275</v>
      </c>
      <c r="E241" s="307">
        <v>24</v>
      </c>
      <c r="F241" s="414">
        <f t="shared" si="95"/>
        <v>119.490522285605</v>
      </c>
      <c r="G241" s="346">
        <f t="shared" si="80"/>
        <v>24</v>
      </c>
      <c r="H241" s="414"/>
      <c r="I241" s="420">
        <v>12.65</v>
      </c>
      <c r="J241" s="307">
        <f t="shared" si="81"/>
        <v>-7.435275</v>
      </c>
      <c r="K241" s="306">
        <f t="shared" si="96"/>
        <v>-37.0185372119625</v>
      </c>
      <c r="M241">
        <f t="shared" si="98"/>
        <v>0</v>
      </c>
      <c r="N241" s="415"/>
      <c r="O241" s="415"/>
    </row>
    <row r="242" customFormat="1" ht="20" customHeight="1" spans="1:15">
      <c r="A242" s="418">
        <v>2014003</v>
      </c>
      <c r="B242" s="419" t="s">
        <v>167</v>
      </c>
      <c r="C242" s="307">
        <v>0</v>
      </c>
      <c r="D242" s="343"/>
      <c r="E242" s="307">
        <v>0</v>
      </c>
      <c r="F242" s="414"/>
      <c r="G242" s="346">
        <f t="shared" si="80"/>
        <v>0</v>
      </c>
      <c r="H242" s="414"/>
      <c r="I242" s="343"/>
      <c r="J242" s="307">
        <f t="shared" si="81"/>
        <v>0</v>
      </c>
      <c r="K242" s="306"/>
      <c r="M242">
        <f t="shared" si="98"/>
        <v>0</v>
      </c>
      <c r="N242" s="415"/>
      <c r="O242" s="415"/>
    </row>
    <row r="243" customFormat="1" ht="20" customHeight="1" spans="1:15">
      <c r="A243" s="418">
        <v>2014004</v>
      </c>
      <c r="B243" s="419" t="s">
        <v>294</v>
      </c>
      <c r="C243" s="307">
        <v>25.7</v>
      </c>
      <c r="D243" s="343">
        <v>25.7</v>
      </c>
      <c r="E243" s="307">
        <v>7</v>
      </c>
      <c r="F243" s="414">
        <f>E243/D243*100</f>
        <v>27.2373540856031</v>
      </c>
      <c r="G243" s="346">
        <f t="shared" si="80"/>
        <v>-18.7</v>
      </c>
      <c r="H243" s="414">
        <f t="shared" ref="H243:H250" si="100">G243/C243*100</f>
        <v>-72.7626459143969</v>
      </c>
      <c r="I243" s="343"/>
      <c r="J243" s="307">
        <f t="shared" si="81"/>
        <v>-25.7</v>
      </c>
      <c r="K243" s="306">
        <f>J243/D243*100</f>
        <v>-100</v>
      </c>
      <c r="M243">
        <f t="shared" si="98"/>
        <v>0</v>
      </c>
      <c r="N243" s="415"/>
      <c r="O243" s="415"/>
    </row>
    <row r="244" customFormat="1" ht="20" customHeight="1" spans="1:15">
      <c r="A244" s="418">
        <v>2014099</v>
      </c>
      <c r="B244" s="419" t="s">
        <v>295</v>
      </c>
      <c r="C244" s="307">
        <v>0</v>
      </c>
      <c r="D244" s="343"/>
      <c r="E244" s="307">
        <v>6</v>
      </c>
      <c r="F244" s="414"/>
      <c r="G244" s="346">
        <f t="shared" si="80"/>
        <v>6</v>
      </c>
      <c r="H244" s="414"/>
      <c r="I244" s="343"/>
      <c r="J244" s="307">
        <f t="shared" si="81"/>
        <v>0</v>
      </c>
      <c r="K244" s="306"/>
      <c r="M244">
        <f t="shared" si="98"/>
        <v>0</v>
      </c>
      <c r="N244" s="415"/>
      <c r="O244" s="415"/>
    </row>
    <row r="245" customFormat="1" ht="20" customHeight="1" spans="1:15">
      <c r="A245" s="416">
        <v>20199</v>
      </c>
      <c r="B245" s="426" t="s">
        <v>296</v>
      </c>
      <c r="C245" s="346">
        <f>SUM(C246:C247)</f>
        <v>2.8664</v>
      </c>
      <c r="D245" s="346">
        <f t="shared" ref="D245:I245" si="101">SUM(D246:D247)</f>
        <v>0</v>
      </c>
      <c r="E245" s="346">
        <f t="shared" si="101"/>
        <v>0</v>
      </c>
      <c r="F245" s="414"/>
      <c r="G245" s="346">
        <f t="shared" si="80"/>
        <v>-2.8664</v>
      </c>
      <c r="H245" s="414">
        <f t="shared" si="100"/>
        <v>-100</v>
      </c>
      <c r="I245" s="346">
        <f t="shared" si="101"/>
        <v>24</v>
      </c>
      <c r="J245" s="307">
        <f t="shared" si="81"/>
        <v>24</v>
      </c>
      <c r="K245" s="306"/>
      <c r="M245">
        <f t="shared" si="98"/>
        <v>0</v>
      </c>
      <c r="N245" s="415"/>
      <c r="O245" s="415"/>
    </row>
    <row r="246" customFormat="1" ht="20" customHeight="1" spans="1:15">
      <c r="A246" s="418">
        <v>2019901</v>
      </c>
      <c r="B246" s="421" t="s">
        <v>297</v>
      </c>
      <c r="C246" s="307">
        <v>0</v>
      </c>
      <c r="D246" s="343"/>
      <c r="E246" s="307">
        <v>0</v>
      </c>
      <c r="F246" s="414"/>
      <c r="G246" s="346">
        <f t="shared" si="80"/>
        <v>0</v>
      </c>
      <c r="H246" s="414"/>
      <c r="I246" s="343"/>
      <c r="J246" s="307">
        <f t="shared" si="81"/>
        <v>0</v>
      </c>
      <c r="K246" s="306"/>
      <c r="M246">
        <f t="shared" si="98"/>
        <v>0</v>
      </c>
      <c r="N246" s="415"/>
      <c r="O246" s="415"/>
    </row>
    <row r="247" customFormat="1" ht="20" customHeight="1" spans="1:15">
      <c r="A247" s="418">
        <v>2019999</v>
      </c>
      <c r="B247" s="421" t="s">
        <v>298</v>
      </c>
      <c r="C247" s="307">
        <v>2.8664</v>
      </c>
      <c r="D247" s="343"/>
      <c r="E247" s="307"/>
      <c r="F247" s="414"/>
      <c r="G247" s="346">
        <f t="shared" si="80"/>
        <v>-2.8664</v>
      </c>
      <c r="H247" s="414">
        <f t="shared" si="100"/>
        <v>-100</v>
      </c>
      <c r="I247" s="343">
        <v>24</v>
      </c>
      <c r="J247" s="307">
        <f t="shared" si="81"/>
        <v>24</v>
      </c>
      <c r="K247" s="306"/>
      <c r="M247">
        <f t="shared" si="98"/>
        <v>81</v>
      </c>
      <c r="N247" s="415">
        <v>81</v>
      </c>
      <c r="O247" s="415"/>
    </row>
    <row r="248" s="278" customFormat="1" ht="20" customHeight="1" spans="1:15">
      <c r="A248" s="412">
        <v>203</v>
      </c>
      <c r="B248" s="413" t="s">
        <v>299</v>
      </c>
      <c r="C248" s="346">
        <f>C249+C256</f>
        <v>354.922915</v>
      </c>
      <c r="D248" s="346">
        <f t="shared" ref="D248:I248" si="102">D249+D256</f>
        <v>346.599205</v>
      </c>
      <c r="E248" s="346">
        <f t="shared" si="102"/>
        <v>410.482915</v>
      </c>
      <c r="F248" s="414">
        <f t="shared" ref="F248:F250" si="103">E248/D248*100</f>
        <v>118.431580072436</v>
      </c>
      <c r="G248" s="346">
        <f t="shared" si="80"/>
        <v>55.56</v>
      </c>
      <c r="H248" s="414">
        <f t="shared" si="100"/>
        <v>15.6541033705868</v>
      </c>
      <c r="I248" s="346">
        <f t="shared" si="102"/>
        <v>347.877259</v>
      </c>
      <c r="J248" s="307">
        <f t="shared" si="81"/>
        <v>1.278054</v>
      </c>
      <c r="K248" s="306">
        <f t="shared" ref="K248:K250" si="104">J248/D248*100</f>
        <v>0.3687411804652</v>
      </c>
      <c r="M248" s="278">
        <f t="shared" si="98"/>
        <v>0</v>
      </c>
      <c r="N248" s="415"/>
      <c r="O248" s="415"/>
    </row>
    <row r="249" customFormat="1" ht="20" customHeight="1" spans="1:15">
      <c r="A249" s="416">
        <v>20306</v>
      </c>
      <c r="B249" s="426" t="s">
        <v>300</v>
      </c>
      <c r="C249" s="346">
        <f>SUM(C250:C255)</f>
        <v>261.94</v>
      </c>
      <c r="D249" s="346">
        <f t="shared" ref="D249:I249" si="105">SUM(D250:D255)</f>
        <v>249</v>
      </c>
      <c r="E249" s="346">
        <f t="shared" si="105"/>
        <v>317.5</v>
      </c>
      <c r="F249" s="414">
        <f t="shared" si="103"/>
        <v>127.510040160643</v>
      </c>
      <c r="G249" s="346">
        <f t="shared" si="80"/>
        <v>55.56</v>
      </c>
      <c r="H249" s="414">
        <f t="shared" si="100"/>
        <v>21.2109643429793</v>
      </c>
      <c r="I249" s="346">
        <f t="shared" si="105"/>
        <v>202</v>
      </c>
      <c r="J249" s="307">
        <f t="shared" si="81"/>
        <v>-47</v>
      </c>
      <c r="K249" s="306">
        <f t="shared" si="104"/>
        <v>-18.8755020080321</v>
      </c>
      <c r="M249">
        <f t="shared" si="98"/>
        <v>0</v>
      </c>
      <c r="N249" s="415"/>
      <c r="O249" s="415"/>
    </row>
    <row r="250" customFormat="1" ht="20" customHeight="1" spans="1:15">
      <c r="A250" s="418">
        <v>2030601</v>
      </c>
      <c r="B250" s="421" t="s">
        <v>301</v>
      </c>
      <c r="C250" s="307">
        <v>98.6</v>
      </c>
      <c r="D250" s="425">
        <v>50</v>
      </c>
      <c r="E250" s="307">
        <v>135</v>
      </c>
      <c r="F250" s="414">
        <f t="shared" si="103"/>
        <v>270</v>
      </c>
      <c r="G250" s="346">
        <f t="shared" si="80"/>
        <v>36.4</v>
      </c>
      <c r="H250" s="414">
        <f t="shared" si="100"/>
        <v>36.9168356997972</v>
      </c>
      <c r="I250" s="420">
        <v>55.9</v>
      </c>
      <c r="J250" s="307">
        <f t="shared" si="81"/>
        <v>5.9</v>
      </c>
      <c r="K250" s="306">
        <f t="shared" si="104"/>
        <v>11.8</v>
      </c>
      <c r="M250">
        <f t="shared" si="98"/>
        <v>49</v>
      </c>
      <c r="N250" s="415">
        <v>49</v>
      </c>
      <c r="O250" s="415"/>
    </row>
    <row r="251" customFormat="1" ht="20" customHeight="1" spans="1:15">
      <c r="A251" s="418">
        <v>2030602</v>
      </c>
      <c r="B251" s="419" t="s">
        <v>302</v>
      </c>
      <c r="C251" s="307">
        <v>0</v>
      </c>
      <c r="D251" s="343"/>
      <c r="E251" s="307">
        <v>0</v>
      </c>
      <c r="F251" s="414"/>
      <c r="G251" s="346">
        <f t="shared" si="80"/>
        <v>0</v>
      </c>
      <c r="H251" s="414"/>
      <c r="I251" s="343"/>
      <c r="J251" s="307">
        <f t="shared" si="81"/>
        <v>0</v>
      </c>
      <c r="K251" s="306"/>
      <c r="M251">
        <f t="shared" si="98"/>
        <v>0</v>
      </c>
      <c r="N251" s="415"/>
      <c r="O251" s="415"/>
    </row>
    <row r="252" customFormat="1" ht="20" customHeight="1" spans="1:15">
      <c r="A252" s="418">
        <v>2030603</v>
      </c>
      <c r="B252" s="419" t="s">
        <v>303</v>
      </c>
      <c r="C252" s="307">
        <v>0</v>
      </c>
      <c r="D252" s="343"/>
      <c r="E252" s="307">
        <v>0</v>
      </c>
      <c r="F252" s="414"/>
      <c r="G252" s="346">
        <f t="shared" si="80"/>
        <v>0</v>
      </c>
      <c r="H252" s="414"/>
      <c r="I252" s="343"/>
      <c r="J252" s="307">
        <f t="shared" si="81"/>
        <v>0</v>
      </c>
      <c r="K252" s="306"/>
      <c r="M252">
        <f t="shared" si="98"/>
        <v>0</v>
      </c>
      <c r="N252" s="415"/>
      <c r="O252" s="415"/>
    </row>
    <row r="253" customFormat="1" ht="20" customHeight="1" spans="1:15">
      <c r="A253" s="418">
        <v>2030604</v>
      </c>
      <c r="B253" s="419" t="s">
        <v>304</v>
      </c>
      <c r="C253" s="307">
        <v>0</v>
      </c>
      <c r="D253" s="343"/>
      <c r="E253" s="307">
        <v>0</v>
      </c>
      <c r="F253" s="414"/>
      <c r="G253" s="346">
        <f t="shared" si="80"/>
        <v>0</v>
      </c>
      <c r="H253" s="414"/>
      <c r="I253" s="343"/>
      <c r="J253" s="307">
        <f t="shared" si="81"/>
        <v>0</v>
      </c>
      <c r="K253" s="306"/>
      <c r="M253">
        <f t="shared" si="98"/>
        <v>0</v>
      </c>
      <c r="N253" s="415"/>
      <c r="O253" s="415"/>
    </row>
    <row r="254" customFormat="1" ht="20" customHeight="1" spans="1:15">
      <c r="A254" s="418">
        <v>2030607</v>
      </c>
      <c r="B254" s="421" t="s">
        <v>305</v>
      </c>
      <c r="C254" s="307">
        <v>163.34</v>
      </c>
      <c r="D254" s="425">
        <f>128+71</f>
        <v>199</v>
      </c>
      <c r="E254" s="307">
        <v>182.5</v>
      </c>
      <c r="F254" s="414">
        <f t="shared" ref="F254:F259" si="106">E254/D254*100</f>
        <v>91.7085427135678</v>
      </c>
      <c r="G254" s="346">
        <f t="shared" si="80"/>
        <v>19.16</v>
      </c>
      <c r="H254" s="414">
        <f t="shared" ref="H254:H259" si="107">G254/C254*100</f>
        <v>11.7301334639402</v>
      </c>
      <c r="I254" s="420">
        <f>72.1+73</f>
        <v>145.1</v>
      </c>
      <c r="J254" s="307">
        <f t="shared" si="81"/>
        <v>-53.9</v>
      </c>
      <c r="K254" s="306">
        <f t="shared" ref="K254:K259" si="108">J254/D254*100</f>
        <v>-27.0854271356784</v>
      </c>
      <c r="M254">
        <f t="shared" si="98"/>
        <v>88</v>
      </c>
      <c r="N254" s="415">
        <v>88</v>
      </c>
      <c r="O254" s="415"/>
    </row>
    <row r="255" customFormat="1" ht="20" customHeight="1" spans="1:15">
      <c r="A255" s="418">
        <v>2030699</v>
      </c>
      <c r="B255" s="421" t="s">
        <v>306</v>
      </c>
      <c r="C255" s="307"/>
      <c r="D255" s="343"/>
      <c r="E255" s="307"/>
      <c r="F255" s="414"/>
      <c r="G255" s="346">
        <f t="shared" si="80"/>
        <v>0</v>
      </c>
      <c r="H255" s="414"/>
      <c r="I255" s="420">
        <v>1</v>
      </c>
      <c r="J255" s="307">
        <f t="shared" si="81"/>
        <v>1</v>
      </c>
      <c r="K255" s="306"/>
      <c r="M255">
        <f t="shared" si="98"/>
        <v>0</v>
      </c>
      <c r="N255" s="415"/>
      <c r="O255" s="415"/>
    </row>
    <row r="256" customFormat="1" ht="20" customHeight="1" spans="1:15">
      <c r="A256" s="416">
        <v>20399</v>
      </c>
      <c r="B256" s="426" t="s">
        <v>307</v>
      </c>
      <c r="C256" s="343">
        <v>92.982915</v>
      </c>
      <c r="D256" s="425">
        <v>97.599205</v>
      </c>
      <c r="E256" s="343">
        <v>92.982915</v>
      </c>
      <c r="F256" s="414">
        <f t="shared" si="106"/>
        <v>95.2701561452268</v>
      </c>
      <c r="G256" s="346">
        <f t="shared" si="80"/>
        <v>0</v>
      </c>
      <c r="H256" s="414">
        <f t="shared" si="107"/>
        <v>0</v>
      </c>
      <c r="I256" s="420">
        <v>145.877259</v>
      </c>
      <c r="J256" s="307">
        <f t="shared" si="81"/>
        <v>48.278054</v>
      </c>
      <c r="K256" s="306">
        <f t="shared" si="108"/>
        <v>49.4656221841151</v>
      </c>
      <c r="M256">
        <f t="shared" si="98"/>
        <v>140</v>
      </c>
      <c r="N256" s="415">
        <v>140</v>
      </c>
      <c r="O256" s="415"/>
    </row>
    <row r="257" s="278" customFormat="1" ht="20" customHeight="1" spans="1:17">
      <c r="A257" s="412">
        <v>204</v>
      </c>
      <c r="B257" s="413" t="s">
        <v>308</v>
      </c>
      <c r="C257" s="346">
        <f>SUM(C258:C342)/2+C343</f>
        <v>12484.449715</v>
      </c>
      <c r="D257" s="346">
        <f t="shared" ref="D257:I257" si="109">SUM(D258:D342)/2+D343</f>
        <v>7069.112401</v>
      </c>
      <c r="E257" s="346">
        <f t="shared" si="109"/>
        <v>12067</v>
      </c>
      <c r="F257" s="414">
        <f t="shared" si="106"/>
        <v>170.700355511294</v>
      </c>
      <c r="G257" s="346">
        <f t="shared" si="80"/>
        <v>-417.449715000001</v>
      </c>
      <c r="H257" s="414">
        <f t="shared" si="107"/>
        <v>-3.34375743048119</v>
      </c>
      <c r="I257" s="346">
        <f t="shared" si="109"/>
        <v>10757.987151</v>
      </c>
      <c r="J257" s="307">
        <f t="shared" si="81"/>
        <v>3688.87475</v>
      </c>
      <c r="K257" s="306">
        <f t="shared" si="108"/>
        <v>52.1829975355629</v>
      </c>
      <c r="M257" s="278">
        <f t="shared" si="98"/>
        <v>0</v>
      </c>
      <c r="N257" s="415"/>
      <c r="O257" s="415"/>
    </row>
    <row r="258" customFormat="1" ht="20" customHeight="1" spans="1:17">
      <c r="A258" s="416">
        <v>20401</v>
      </c>
      <c r="B258" s="417" t="s">
        <v>309</v>
      </c>
      <c r="C258" s="346">
        <f>SUM(C259:C260)</f>
        <v>8</v>
      </c>
      <c r="D258" s="425">
        <v>4.9343</v>
      </c>
      <c r="E258" s="346">
        <f>SUM(E259:E260)</f>
        <v>5</v>
      </c>
      <c r="F258" s="414">
        <f t="shared" si="106"/>
        <v>101.331495855542</v>
      </c>
      <c r="G258" s="346">
        <f t="shared" si="80"/>
        <v>-3</v>
      </c>
      <c r="H258" s="414">
        <f t="shared" si="107"/>
        <v>-37.5</v>
      </c>
      <c r="I258" s="425">
        <v>4.9343</v>
      </c>
      <c r="J258" s="307">
        <f t="shared" si="81"/>
        <v>0</v>
      </c>
      <c r="K258" s="306">
        <f t="shared" si="108"/>
        <v>0</v>
      </c>
      <c r="M258">
        <f t="shared" si="98"/>
        <v>0</v>
      </c>
      <c r="N258" s="415"/>
      <c r="O258" s="415"/>
    </row>
    <row r="259" customFormat="1" ht="20" customHeight="1" spans="1:17">
      <c r="A259" s="418">
        <v>2040101</v>
      </c>
      <c r="B259" s="421" t="s">
        <v>310</v>
      </c>
      <c r="C259" s="343">
        <v>8</v>
      </c>
      <c r="D259" s="343">
        <v>4.9343</v>
      </c>
      <c r="E259" s="343">
        <v>5</v>
      </c>
      <c r="F259" s="414">
        <f t="shared" si="106"/>
        <v>101.331495855542</v>
      </c>
      <c r="G259" s="346">
        <f t="shared" si="80"/>
        <v>-3</v>
      </c>
      <c r="H259" s="414">
        <f t="shared" si="107"/>
        <v>-37.5</v>
      </c>
      <c r="I259" s="420">
        <v>5</v>
      </c>
      <c r="J259" s="307">
        <f t="shared" si="81"/>
        <v>0.0656999999999996</v>
      </c>
      <c r="K259" s="306">
        <f t="shared" si="108"/>
        <v>1.33149585554181</v>
      </c>
      <c r="M259">
        <f t="shared" si="98"/>
        <v>13</v>
      </c>
      <c r="N259" s="415">
        <v>13</v>
      </c>
      <c r="O259" s="415"/>
    </row>
    <row r="260" customFormat="1" ht="20" customHeight="1" spans="1:17">
      <c r="A260" s="418">
        <v>2040199</v>
      </c>
      <c r="B260" s="421" t="s">
        <v>311</v>
      </c>
      <c r="C260" s="343">
        <v>0</v>
      </c>
      <c r="D260" s="343"/>
      <c r="E260" s="343">
        <v>0</v>
      </c>
      <c r="F260" s="414"/>
      <c r="G260" s="346">
        <f t="shared" si="80"/>
        <v>0</v>
      </c>
      <c r="H260" s="414"/>
      <c r="I260" s="343"/>
      <c r="J260" s="307">
        <f t="shared" si="81"/>
        <v>0</v>
      </c>
      <c r="K260" s="306"/>
      <c r="M260">
        <f t="shared" si="98"/>
        <v>0</v>
      </c>
      <c r="N260" s="415"/>
      <c r="O260" s="415"/>
    </row>
    <row r="261" customFormat="1" ht="20" customHeight="1" spans="1:17">
      <c r="A261" s="416">
        <v>20402</v>
      </c>
      <c r="B261" s="426" t="s">
        <v>312</v>
      </c>
      <c r="C261" s="346">
        <f>SUM(C262:C270)</f>
        <v>10748.635478</v>
      </c>
      <c r="D261" s="346">
        <f t="shared" ref="D261:I261" si="110">SUM(D262:D270)</f>
        <v>6281.978448</v>
      </c>
      <c r="E261" s="346">
        <f t="shared" si="110"/>
        <v>10904</v>
      </c>
      <c r="F261" s="414">
        <f t="shared" ref="F261:F263" si="111">E261/D261*100</f>
        <v>173.575889988472</v>
      </c>
      <c r="G261" s="346">
        <f t="shared" si="80"/>
        <v>155.364522</v>
      </c>
      <c r="H261" s="414">
        <f t="shared" ref="H261:H263" si="112">G261/C261*100</f>
        <v>1.44543483978032</v>
      </c>
      <c r="I261" s="346">
        <f t="shared" si="110"/>
        <v>9610.544319</v>
      </c>
      <c r="J261" s="307">
        <f t="shared" si="81"/>
        <v>3328.565871</v>
      </c>
      <c r="K261" s="306">
        <f t="shared" ref="K261:K263" si="113">J261/D261*100</f>
        <v>52.9859485917167</v>
      </c>
      <c r="M261">
        <f t="shared" si="98"/>
        <v>0</v>
      </c>
      <c r="N261" s="415"/>
      <c r="O261" s="415"/>
    </row>
    <row r="262" customFormat="1" ht="20" customHeight="1" spans="1:17">
      <c r="A262" s="418">
        <v>2040201</v>
      </c>
      <c r="B262" s="421" t="s">
        <v>165</v>
      </c>
      <c r="C262" s="307">
        <v>4611.796722</v>
      </c>
      <c r="D262" s="343">
        <v>4219.905598</v>
      </c>
      <c r="E262" s="307">
        <v>4288</v>
      </c>
      <c r="F262" s="414">
        <f t="shared" si="111"/>
        <v>101.613647519325</v>
      </c>
      <c r="G262" s="346">
        <f t="shared" ref="G262:G325" si="114">E262-C262</f>
        <v>-323.796722</v>
      </c>
      <c r="H262" s="414">
        <f t="shared" si="112"/>
        <v>-7.02105364825315</v>
      </c>
      <c r="I262" s="343">
        <v>4083</v>
      </c>
      <c r="J262" s="307">
        <f t="shared" ref="J262:J325" si="115">I262-D262</f>
        <v>-136.905598</v>
      </c>
      <c r="K262" s="306">
        <f t="shared" si="113"/>
        <v>-3.24428105844088</v>
      </c>
      <c r="M262">
        <f t="shared" si="98"/>
        <v>3739</v>
      </c>
      <c r="N262" s="415">
        <v>3739</v>
      </c>
      <c r="O262" s="415"/>
    </row>
    <row r="263" customFormat="1" ht="20" customHeight="1" spans="1:17">
      <c r="A263" s="418">
        <v>2040202</v>
      </c>
      <c r="B263" s="422" t="s">
        <v>166</v>
      </c>
      <c r="C263" s="307">
        <v>2285.634468</v>
      </c>
      <c r="D263" s="425">
        <v>763</v>
      </c>
      <c r="E263" s="307">
        <v>943</v>
      </c>
      <c r="F263" s="414">
        <f t="shared" si="111"/>
        <v>123.591087811271</v>
      </c>
      <c r="G263" s="346">
        <f t="shared" si="114"/>
        <v>-1342.634468</v>
      </c>
      <c r="H263" s="414">
        <f t="shared" si="112"/>
        <v>-58.7423092711253</v>
      </c>
      <c r="I263" s="420">
        <v>826.458667</v>
      </c>
      <c r="J263" s="307">
        <f t="shared" si="115"/>
        <v>63.458667</v>
      </c>
      <c r="K263" s="306">
        <f t="shared" si="113"/>
        <v>8.31699436435124</v>
      </c>
      <c r="M263">
        <f t="shared" si="98"/>
        <v>841</v>
      </c>
      <c r="N263" s="415">
        <v>841</v>
      </c>
      <c r="O263" s="415"/>
    </row>
    <row r="264" customFormat="1" ht="20" customHeight="1" spans="1:17">
      <c r="A264" s="418">
        <v>2040203</v>
      </c>
      <c r="B264" s="419" t="s">
        <v>167</v>
      </c>
      <c r="C264" s="307">
        <v>0</v>
      </c>
      <c r="D264" s="343"/>
      <c r="E264" s="307">
        <v>0</v>
      </c>
      <c r="F264" s="414"/>
      <c r="G264" s="346">
        <f t="shared" si="114"/>
        <v>0</v>
      </c>
      <c r="H264" s="414"/>
      <c r="I264" s="343"/>
      <c r="J264" s="307">
        <f t="shared" si="115"/>
        <v>0</v>
      </c>
      <c r="K264" s="306"/>
      <c r="M264">
        <f t="shared" si="98"/>
        <v>0</v>
      </c>
      <c r="N264" s="415"/>
      <c r="O264" s="415"/>
    </row>
    <row r="265" customFormat="1" ht="20" customHeight="1" spans="1:17">
      <c r="A265" s="418">
        <v>2040219</v>
      </c>
      <c r="B265" s="421" t="s">
        <v>207</v>
      </c>
      <c r="C265" s="307">
        <v>25</v>
      </c>
      <c r="D265" s="343"/>
      <c r="E265" s="307">
        <v>8</v>
      </c>
      <c r="F265" s="414"/>
      <c r="G265" s="346">
        <f t="shared" si="114"/>
        <v>-17</v>
      </c>
      <c r="H265" s="414">
        <f t="shared" ref="H265:H270" si="116">G265/C265*100</f>
        <v>-68</v>
      </c>
      <c r="I265" s="343"/>
      <c r="J265" s="307">
        <f t="shared" si="115"/>
        <v>0</v>
      </c>
      <c r="K265" s="306"/>
      <c r="M265">
        <f t="shared" si="98"/>
        <v>0</v>
      </c>
      <c r="N265" s="415"/>
      <c r="O265" s="415"/>
    </row>
    <row r="266" customFormat="1" ht="20" customHeight="1" spans="1:17">
      <c r="A266" s="418">
        <v>2040220</v>
      </c>
      <c r="B266" s="419" t="s">
        <v>313</v>
      </c>
      <c r="C266" s="307">
        <v>3727.154288</v>
      </c>
      <c r="D266" s="343">
        <f>1101.44575+50+104.6271</f>
        <v>1256.07285</v>
      </c>
      <c r="E266" s="307">
        <v>5512</v>
      </c>
      <c r="F266" s="414">
        <f>E266/D266*100</f>
        <v>438.828050459016</v>
      </c>
      <c r="G266" s="346">
        <f t="shared" si="114"/>
        <v>1784.845712</v>
      </c>
      <c r="H266" s="414">
        <f t="shared" si="116"/>
        <v>47.8876261641895</v>
      </c>
      <c r="I266" s="343">
        <f>3753.15+40.81+653</f>
        <v>4446.96</v>
      </c>
      <c r="J266" s="307">
        <f t="shared" si="115"/>
        <v>3190.88715</v>
      </c>
      <c r="K266" s="306">
        <f>J266/D266*100</f>
        <v>254.036790143183</v>
      </c>
      <c r="M266">
        <f t="shared" si="98"/>
        <v>2184</v>
      </c>
      <c r="N266" s="415">
        <v>2184</v>
      </c>
      <c r="O266" s="415"/>
      <c r="Q266">
        <v>151</v>
      </c>
    </row>
    <row r="267" customFormat="1" ht="20" customHeight="1" spans="1:17">
      <c r="A267" s="418">
        <v>2040221</v>
      </c>
      <c r="B267" s="421" t="s">
        <v>314</v>
      </c>
      <c r="C267" s="307">
        <v>0</v>
      </c>
      <c r="D267" s="343"/>
      <c r="E267" s="307">
        <v>0</v>
      </c>
      <c r="F267" s="414"/>
      <c r="G267" s="346">
        <f t="shared" si="114"/>
        <v>0</v>
      </c>
      <c r="H267" s="414"/>
      <c r="I267" s="343"/>
      <c r="J267" s="307">
        <f t="shared" si="115"/>
        <v>0</v>
      </c>
      <c r="K267" s="306"/>
      <c r="M267">
        <f t="shared" si="98"/>
        <v>0</v>
      </c>
      <c r="N267" s="415"/>
      <c r="O267" s="415"/>
    </row>
    <row r="268" customFormat="1" ht="20" customHeight="1" spans="1:17">
      <c r="A268" s="418">
        <v>2040222</v>
      </c>
      <c r="B268" s="421" t="s">
        <v>315</v>
      </c>
      <c r="C268" s="307">
        <v>0</v>
      </c>
      <c r="D268" s="343"/>
      <c r="E268" s="307">
        <v>0</v>
      </c>
      <c r="F268" s="414"/>
      <c r="G268" s="346">
        <f t="shared" si="114"/>
        <v>0</v>
      </c>
      <c r="H268" s="414"/>
      <c r="I268" s="343"/>
      <c r="J268" s="307">
        <f t="shared" si="115"/>
        <v>0</v>
      </c>
      <c r="K268" s="306"/>
      <c r="M268">
        <f t="shared" si="98"/>
        <v>0</v>
      </c>
      <c r="N268" s="415"/>
      <c r="O268" s="415"/>
    </row>
    <row r="269" customFormat="1" ht="20" customHeight="1" spans="1:17">
      <c r="A269" s="418">
        <v>2040250</v>
      </c>
      <c r="B269" s="421" t="s">
        <v>174</v>
      </c>
      <c r="C269" s="307">
        <v>0</v>
      </c>
      <c r="D269" s="343"/>
      <c r="E269" s="307">
        <v>0</v>
      </c>
      <c r="F269" s="414"/>
      <c r="G269" s="346">
        <f t="shared" si="114"/>
        <v>0</v>
      </c>
      <c r="H269" s="414"/>
      <c r="I269" s="343"/>
      <c r="J269" s="307">
        <f t="shared" si="115"/>
        <v>0</v>
      </c>
      <c r="K269" s="306"/>
      <c r="M269">
        <f t="shared" si="98"/>
        <v>0</v>
      </c>
      <c r="N269" s="415"/>
      <c r="O269" s="415"/>
    </row>
    <row r="270" customFormat="1" ht="20" customHeight="1" spans="1:17">
      <c r="A270" s="418">
        <v>2040299</v>
      </c>
      <c r="B270" s="421" t="s">
        <v>316</v>
      </c>
      <c r="C270" s="307">
        <v>99.05</v>
      </c>
      <c r="D270" s="343">
        <v>43</v>
      </c>
      <c r="E270" s="307">
        <v>153</v>
      </c>
      <c r="F270" s="414">
        <f>E270/D270*100</f>
        <v>355.813953488372</v>
      </c>
      <c r="G270" s="346">
        <f t="shared" si="114"/>
        <v>53.95</v>
      </c>
      <c r="H270" s="414">
        <f t="shared" si="116"/>
        <v>54.467440686522</v>
      </c>
      <c r="I270" s="420">
        <f>42.125652+212</f>
        <v>254.125652</v>
      </c>
      <c r="J270" s="307">
        <f t="shared" si="115"/>
        <v>211.125652</v>
      </c>
      <c r="K270" s="306">
        <f>J270/D270*100</f>
        <v>490.989888372093</v>
      </c>
      <c r="M270">
        <f t="shared" si="98"/>
        <v>45</v>
      </c>
      <c r="N270" s="415">
        <v>45</v>
      </c>
      <c r="O270" s="415"/>
      <c r="P270">
        <v>50</v>
      </c>
    </row>
    <row r="271" customFormat="1" ht="20" customHeight="1" spans="1:17">
      <c r="A271" s="416">
        <v>20403</v>
      </c>
      <c r="B271" s="417" t="s">
        <v>317</v>
      </c>
      <c r="C271" s="346">
        <v>0</v>
      </c>
      <c r="D271" s="346"/>
      <c r="E271" s="346">
        <v>0</v>
      </c>
      <c r="F271" s="414"/>
      <c r="G271" s="346">
        <f t="shared" si="114"/>
        <v>0</v>
      </c>
      <c r="H271" s="414"/>
      <c r="I271" s="346"/>
      <c r="J271" s="307">
        <f t="shared" si="115"/>
        <v>0</v>
      </c>
      <c r="K271" s="306"/>
      <c r="M271">
        <f t="shared" si="98"/>
        <v>0</v>
      </c>
      <c r="N271" s="415"/>
      <c r="O271" s="415"/>
    </row>
    <row r="272" customFormat="1" ht="20" customHeight="1" spans="1:17">
      <c r="A272" s="418">
        <v>2040301</v>
      </c>
      <c r="B272" s="419" t="s">
        <v>165</v>
      </c>
      <c r="C272" s="343">
        <v>0</v>
      </c>
      <c r="D272" s="343"/>
      <c r="E272" s="343">
        <v>0</v>
      </c>
      <c r="F272" s="414"/>
      <c r="G272" s="346">
        <f t="shared" si="114"/>
        <v>0</v>
      </c>
      <c r="H272" s="414"/>
      <c r="I272" s="343"/>
      <c r="J272" s="307">
        <f t="shared" si="115"/>
        <v>0</v>
      </c>
      <c r="K272" s="306"/>
      <c r="M272">
        <f t="shared" si="98"/>
        <v>0</v>
      </c>
      <c r="N272" s="415"/>
      <c r="O272" s="415"/>
    </row>
    <row r="273" customFormat="1" ht="20" customHeight="1" spans="1:15">
      <c r="A273" s="418">
        <v>2040302</v>
      </c>
      <c r="B273" s="419" t="s">
        <v>166</v>
      </c>
      <c r="C273" s="343">
        <v>0</v>
      </c>
      <c r="D273" s="343"/>
      <c r="E273" s="343">
        <v>0</v>
      </c>
      <c r="F273" s="414"/>
      <c r="G273" s="346">
        <f t="shared" si="114"/>
        <v>0</v>
      </c>
      <c r="H273" s="414"/>
      <c r="I273" s="343"/>
      <c r="J273" s="307">
        <f t="shared" si="115"/>
        <v>0</v>
      </c>
      <c r="K273" s="306"/>
      <c r="M273">
        <f t="shared" si="98"/>
        <v>0</v>
      </c>
      <c r="N273" s="415"/>
      <c r="O273" s="415"/>
    </row>
    <row r="274" customFormat="1" ht="20" customHeight="1" spans="1:15">
      <c r="A274" s="418">
        <v>2040303</v>
      </c>
      <c r="B274" s="421" t="s">
        <v>167</v>
      </c>
      <c r="C274" s="343">
        <v>0</v>
      </c>
      <c r="D274" s="343"/>
      <c r="E274" s="343">
        <v>0</v>
      </c>
      <c r="F274" s="414"/>
      <c r="G274" s="346">
        <f t="shared" si="114"/>
        <v>0</v>
      </c>
      <c r="H274" s="414"/>
      <c r="I274" s="343"/>
      <c r="J274" s="307">
        <f t="shared" si="115"/>
        <v>0</v>
      </c>
      <c r="K274" s="306"/>
      <c r="M274">
        <f t="shared" si="98"/>
        <v>0</v>
      </c>
      <c r="N274" s="415"/>
      <c r="O274" s="415"/>
    </row>
    <row r="275" customFormat="1" ht="20" customHeight="1" spans="1:15">
      <c r="A275" s="418">
        <v>2040304</v>
      </c>
      <c r="B275" s="421" t="s">
        <v>318</v>
      </c>
      <c r="C275" s="343">
        <v>0</v>
      </c>
      <c r="D275" s="343"/>
      <c r="E275" s="343">
        <v>0</v>
      </c>
      <c r="F275" s="414"/>
      <c r="G275" s="346">
        <f t="shared" si="114"/>
        <v>0</v>
      </c>
      <c r="H275" s="414"/>
      <c r="I275" s="343"/>
      <c r="J275" s="307">
        <f t="shared" si="115"/>
        <v>0</v>
      </c>
      <c r="K275" s="306"/>
      <c r="M275">
        <f t="shared" si="98"/>
        <v>0</v>
      </c>
      <c r="N275" s="415"/>
      <c r="O275" s="415"/>
    </row>
    <row r="276" customFormat="1" ht="20" customHeight="1" spans="1:15">
      <c r="A276" s="418">
        <v>2040350</v>
      </c>
      <c r="B276" s="421" t="s">
        <v>174</v>
      </c>
      <c r="C276" s="343">
        <v>0</v>
      </c>
      <c r="D276" s="343"/>
      <c r="E276" s="343">
        <v>0</v>
      </c>
      <c r="F276" s="414"/>
      <c r="G276" s="346">
        <f t="shared" si="114"/>
        <v>0</v>
      </c>
      <c r="H276" s="414"/>
      <c r="I276" s="343"/>
      <c r="J276" s="307">
        <f t="shared" si="115"/>
        <v>0</v>
      </c>
      <c r="K276" s="306"/>
      <c r="M276">
        <f t="shared" si="98"/>
        <v>0</v>
      </c>
      <c r="N276" s="415"/>
      <c r="O276" s="415"/>
    </row>
    <row r="277" customFormat="1" ht="20" customHeight="1" spans="1:15">
      <c r="A277" s="418">
        <v>2040399</v>
      </c>
      <c r="B277" s="422" t="s">
        <v>319</v>
      </c>
      <c r="C277" s="343">
        <v>0</v>
      </c>
      <c r="D277" s="343"/>
      <c r="E277" s="343">
        <v>0</v>
      </c>
      <c r="F277" s="414"/>
      <c r="G277" s="346">
        <f t="shared" si="114"/>
        <v>0</v>
      </c>
      <c r="H277" s="414"/>
      <c r="I277" s="343"/>
      <c r="J277" s="307">
        <f t="shared" si="115"/>
        <v>0</v>
      </c>
      <c r="K277" s="306"/>
      <c r="M277">
        <f t="shared" si="98"/>
        <v>0</v>
      </c>
      <c r="N277" s="415"/>
      <c r="O277" s="415"/>
    </row>
    <row r="278" customFormat="1" ht="20" customHeight="1" spans="1:15">
      <c r="A278" s="416">
        <v>20404</v>
      </c>
      <c r="B278" s="417" t="s">
        <v>320</v>
      </c>
      <c r="C278" s="346">
        <f>SUM(C279:C285)</f>
        <v>403.956471</v>
      </c>
      <c r="D278" s="346">
        <f t="shared" ref="D278:I278" si="117">SUM(D279:D285)</f>
        <v>0</v>
      </c>
      <c r="E278" s="346">
        <f t="shared" si="117"/>
        <v>2</v>
      </c>
      <c r="F278" s="414"/>
      <c r="G278" s="346">
        <f t="shared" si="114"/>
        <v>-401.956471</v>
      </c>
      <c r="H278" s="414">
        <f t="shared" ref="H278:H280" si="118">G278/C278*100</f>
        <v>-99.5048971501684</v>
      </c>
      <c r="I278" s="346">
        <f t="shared" si="117"/>
        <v>0</v>
      </c>
      <c r="J278" s="307">
        <f t="shared" si="115"/>
        <v>0</v>
      </c>
      <c r="K278" s="306"/>
      <c r="M278">
        <f t="shared" si="98"/>
        <v>0</v>
      </c>
      <c r="N278" s="415"/>
      <c r="O278" s="415"/>
    </row>
    <row r="279" customFormat="1" ht="20" customHeight="1" spans="1:15">
      <c r="A279" s="418">
        <v>2040401</v>
      </c>
      <c r="B279" s="419" t="s">
        <v>165</v>
      </c>
      <c r="C279" s="307">
        <v>14.075</v>
      </c>
      <c r="D279" s="343"/>
      <c r="E279" s="307"/>
      <c r="F279" s="414"/>
      <c r="G279" s="346">
        <f t="shared" si="114"/>
        <v>-14.075</v>
      </c>
      <c r="H279" s="414">
        <f t="shared" si="118"/>
        <v>-100</v>
      </c>
      <c r="I279" s="343"/>
      <c r="J279" s="307">
        <f t="shared" si="115"/>
        <v>0</v>
      </c>
      <c r="K279" s="306"/>
      <c r="M279">
        <f t="shared" si="98"/>
        <v>0</v>
      </c>
      <c r="N279" s="415"/>
      <c r="O279" s="415"/>
    </row>
    <row r="280" customFormat="1" ht="20" customHeight="1" spans="1:15">
      <c r="A280" s="418">
        <v>2040402</v>
      </c>
      <c r="B280" s="419" t="s">
        <v>166</v>
      </c>
      <c r="C280" s="307">
        <v>389.881471</v>
      </c>
      <c r="D280" s="343"/>
      <c r="E280" s="307">
        <v>2</v>
      </c>
      <c r="F280" s="414"/>
      <c r="G280" s="346">
        <f t="shared" si="114"/>
        <v>-387.881471</v>
      </c>
      <c r="H280" s="414">
        <f t="shared" si="118"/>
        <v>-99.4870235831238</v>
      </c>
      <c r="I280" s="343"/>
      <c r="J280" s="307">
        <f t="shared" si="115"/>
        <v>0</v>
      </c>
      <c r="K280" s="306"/>
      <c r="M280">
        <f t="shared" si="98"/>
        <v>63</v>
      </c>
      <c r="N280" s="415">
        <v>63</v>
      </c>
      <c r="O280" s="415"/>
    </row>
    <row r="281" customFormat="1" ht="20" customHeight="1" spans="1:15">
      <c r="A281" s="418">
        <v>2040403</v>
      </c>
      <c r="B281" s="421" t="s">
        <v>167</v>
      </c>
      <c r="C281" s="307">
        <v>0</v>
      </c>
      <c r="D281" s="343"/>
      <c r="E281" s="307">
        <v>0</v>
      </c>
      <c r="F281" s="414"/>
      <c r="G281" s="346">
        <f t="shared" si="114"/>
        <v>0</v>
      </c>
      <c r="H281" s="414"/>
      <c r="I281" s="343"/>
      <c r="J281" s="307">
        <f t="shared" si="115"/>
        <v>0</v>
      </c>
      <c r="K281" s="306"/>
      <c r="M281">
        <f t="shared" si="98"/>
        <v>0</v>
      </c>
      <c r="N281" s="415"/>
      <c r="O281" s="415"/>
    </row>
    <row r="282" customFormat="1" ht="20" customHeight="1" spans="1:15">
      <c r="A282" s="418">
        <v>2040409</v>
      </c>
      <c r="B282" s="421" t="s">
        <v>321</v>
      </c>
      <c r="C282" s="307">
        <v>0</v>
      </c>
      <c r="D282" s="343"/>
      <c r="E282" s="307">
        <v>0</v>
      </c>
      <c r="F282" s="414"/>
      <c r="G282" s="346">
        <f t="shared" si="114"/>
        <v>0</v>
      </c>
      <c r="H282" s="414"/>
      <c r="I282" s="343"/>
      <c r="J282" s="307">
        <f t="shared" si="115"/>
        <v>0</v>
      </c>
      <c r="K282" s="306"/>
      <c r="M282">
        <f t="shared" si="98"/>
        <v>0</v>
      </c>
      <c r="N282" s="415"/>
      <c r="O282" s="415"/>
    </row>
    <row r="283" customFormat="1" ht="20" customHeight="1" spans="1:15">
      <c r="A283" s="418">
        <v>2040410</v>
      </c>
      <c r="B283" s="421" t="s">
        <v>322</v>
      </c>
      <c r="C283" s="307">
        <v>0</v>
      </c>
      <c r="D283" s="343"/>
      <c r="E283" s="307">
        <v>0</v>
      </c>
      <c r="F283" s="414"/>
      <c r="G283" s="346">
        <f t="shared" si="114"/>
        <v>0</v>
      </c>
      <c r="H283" s="414"/>
      <c r="I283" s="343"/>
      <c r="J283" s="307">
        <f t="shared" si="115"/>
        <v>0</v>
      </c>
      <c r="K283" s="306"/>
      <c r="M283">
        <f t="shared" si="98"/>
        <v>0</v>
      </c>
      <c r="N283" s="415"/>
      <c r="O283" s="415"/>
    </row>
    <row r="284" customFormat="1" ht="20" customHeight="1" spans="1:15">
      <c r="A284" s="418">
        <v>2040450</v>
      </c>
      <c r="B284" s="421" t="s">
        <v>174</v>
      </c>
      <c r="C284" s="307">
        <v>0</v>
      </c>
      <c r="D284" s="343"/>
      <c r="E284" s="307">
        <v>0</v>
      </c>
      <c r="F284" s="414"/>
      <c r="G284" s="346">
        <f t="shared" si="114"/>
        <v>0</v>
      </c>
      <c r="H284" s="414"/>
      <c r="I284" s="343"/>
      <c r="J284" s="307">
        <f t="shared" si="115"/>
        <v>0</v>
      </c>
      <c r="K284" s="306"/>
      <c r="M284">
        <f t="shared" si="98"/>
        <v>0</v>
      </c>
      <c r="N284" s="415"/>
      <c r="O284" s="415"/>
    </row>
    <row r="285" customFormat="1" ht="20" customHeight="1" spans="1:15">
      <c r="A285" s="418">
        <v>2040499</v>
      </c>
      <c r="B285" s="421" t="s">
        <v>323</v>
      </c>
      <c r="C285" s="307">
        <v>0</v>
      </c>
      <c r="D285" s="343"/>
      <c r="E285" s="307">
        <v>0</v>
      </c>
      <c r="F285" s="414"/>
      <c r="G285" s="346">
        <f t="shared" si="114"/>
        <v>0</v>
      </c>
      <c r="H285" s="414"/>
      <c r="I285" s="343"/>
      <c r="J285" s="307">
        <f t="shared" si="115"/>
        <v>0</v>
      </c>
      <c r="K285" s="306"/>
      <c r="M285">
        <f t="shared" si="98"/>
        <v>0</v>
      </c>
      <c r="N285" s="415"/>
      <c r="O285" s="415"/>
    </row>
    <row r="286" customFormat="1" ht="20" customHeight="1" spans="1:15">
      <c r="A286" s="416">
        <v>20405</v>
      </c>
      <c r="B286" s="427" t="s">
        <v>324</v>
      </c>
      <c r="C286" s="346">
        <f>SUM(C287:C294)</f>
        <v>327.382775</v>
      </c>
      <c r="D286" s="346">
        <f>SUM(D287:D294)</f>
        <v>0</v>
      </c>
      <c r="E286" s="346">
        <f>SUM(E287:E294)</f>
        <v>47</v>
      </c>
      <c r="F286" s="414"/>
      <c r="G286" s="346">
        <f t="shared" si="114"/>
        <v>-280.382775</v>
      </c>
      <c r="H286" s="414">
        <f t="shared" ref="H286:H288" si="119">G286/C286*100</f>
        <v>-85.6437162889831</v>
      </c>
      <c r="I286" s="346">
        <f>SUM(I287:I294)</f>
        <v>0</v>
      </c>
      <c r="J286" s="307">
        <f t="shared" si="115"/>
        <v>0</v>
      </c>
      <c r="K286" s="306"/>
      <c r="M286">
        <f t="shared" si="98"/>
        <v>0</v>
      </c>
      <c r="N286" s="415"/>
      <c r="O286" s="415"/>
    </row>
    <row r="287" customFormat="1" ht="20" customHeight="1" spans="1:15">
      <c r="A287" s="418">
        <v>2040501</v>
      </c>
      <c r="B287" s="419" t="s">
        <v>165</v>
      </c>
      <c r="C287" s="307">
        <v>29.75725</v>
      </c>
      <c r="D287" s="343"/>
      <c r="E287" s="307"/>
      <c r="F287" s="414"/>
      <c r="G287" s="346">
        <f t="shared" si="114"/>
        <v>-29.75725</v>
      </c>
      <c r="H287" s="414">
        <f t="shared" si="119"/>
        <v>-100</v>
      </c>
      <c r="I287" s="343"/>
      <c r="J287" s="307">
        <f t="shared" si="115"/>
        <v>0</v>
      </c>
      <c r="K287" s="306"/>
      <c r="M287">
        <f t="shared" si="98"/>
        <v>0</v>
      </c>
      <c r="N287" s="415"/>
      <c r="O287" s="415"/>
    </row>
    <row r="288" customFormat="1" ht="20" customHeight="1" spans="1:15">
      <c r="A288" s="418">
        <v>2040502</v>
      </c>
      <c r="B288" s="419" t="s">
        <v>166</v>
      </c>
      <c r="C288" s="307">
        <v>297.425525</v>
      </c>
      <c r="D288" s="343"/>
      <c r="E288" s="307"/>
      <c r="F288" s="414"/>
      <c r="G288" s="346">
        <f t="shared" si="114"/>
        <v>-297.425525</v>
      </c>
      <c r="H288" s="414">
        <f t="shared" si="119"/>
        <v>-100</v>
      </c>
      <c r="I288" s="343"/>
      <c r="J288" s="307">
        <f t="shared" si="115"/>
        <v>0</v>
      </c>
      <c r="K288" s="306"/>
      <c r="M288">
        <f t="shared" si="98"/>
        <v>106</v>
      </c>
      <c r="N288" s="415">
        <v>106</v>
      </c>
      <c r="O288" s="415"/>
    </row>
    <row r="289" customFormat="1" ht="20" customHeight="1" spans="1:17">
      <c r="A289" s="418">
        <v>2040503</v>
      </c>
      <c r="B289" s="419" t="s">
        <v>167</v>
      </c>
      <c r="C289" s="307">
        <v>0</v>
      </c>
      <c r="D289" s="343"/>
      <c r="E289" s="307"/>
      <c r="F289" s="414"/>
      <c r="G289" s="346">
        <f t="shared" si="114"/>
        <v>0</v>
      </c>
      <c r="H289" s="414"/>
      <c r="I289" s="343"/>
      <c r="J289" s="307">
        <f t="shared" si="115"/>
        <v>0</v>
      </c>
      <c r="K289" s="306"/>
      <c r="M289">
        <f t="shared" si="98"/>
        <v>0</v>
      </c>
      <c r="N289" s="415"/>
      <c r="O289" s="415"/>
    </row>
    <row r="290" customFormat="1" ht="20" customHeight="1" spans="1:17">
      <c r="A290" s="418">
        <v>2040504</v>
      </c>
      <c r="B290" s="421" t="s">
        <v>325</v>
      </c>
      <c r="C290" s="307">
        <v>0</v>
      </c>
      <c r="D290" s="343"/>
      <c r="E290" s="307"/>
      <c r="F290" s="414"/>
      <c r="G290" s="346">
        <f t="shared" si="114"/>
        <v>0</v>
      </c>
      <c r="H290" s="414"/>
      <c r="I290" s="343"/>
      <c r="J290" s="307">
        <f t="shared" si="115"/>
        <v>0</v>
      </c>
      <c r="K290" s="306"/>
      <c r="M290">
        <f t="shared" si="98"/>
        <v>0</v>
      </c>
      <c r="N290" s="415"/>
      <c r="O290" s="415"/>
    </row>
    <row r="291" customFormat="1" ht="20" customHeight="1" spans="1:17">
      <c r="A291" s="418">
        <v>2040505</v>
      </c>
      <c r="B291" s="421" t="s">
        <v>326</v>
      </c>
      <c r="C291" s="307">
        <v>0</v>
      </c>
      <c r="D291" s="343"/>
      <c r="E291" s="307"/>
      <c r="F291" s="414"/>
      <c r="G291" s="346">
        <f t="shared" si="114"/>
        <v>0</v>
      </c>
      <c r="H291" s="414"/>
      <c r="I291" s="343"/>
      <c r="J291" s="307">
        <f t="shared" si="115"/>
        <v>0</v>
      </c>
      <c r="K291" s="306"/>
      <c r="M291">
        <f t="shared" si="98"/>
        <v>0</v>
      </c>
      <c r="N291" s="415"/>
      <c r="O291" s="415"/>
    </row>
    <row r="292" customFormat="1" ht="20" customHeight="1" spans="1:17">
      <c r="A292" s="418">
        <v>2040506</v>
      </c>
      <c r="B292" s="421" t="s">
        <v>327</v>
      </c>
      <c r="C292" s="307">
        <v>0</v>
      </c>
      <c r="D292" s="343"/>
      <c r="E292" s="307">
        <v>47</v>
      </c>
      <c r="F292" s="414"/>
      <c r="G292" s="346">
        <f t="shared" si="114"/>
        <v>47</v>
      </c>
      <c r="H292" s="414"/>
      <c r="I292" s="343"/>
      <c r="J292" s="307">
        <f t="shared" si="115"/>
        <v>0</v>
      </c>
      <c r="K292" s="306"/>
      <c r="M292">
        <f t="shared" si="98"/>
        <v>0</v>
      </c>
      <c r="N292" s="415"/>
      <c r="O292" s="415"/>
    </row>
    <row r="293" customFormat="1" ht="20" customHeight="1" spans="1:17">
      <c r="A293" s="418">
        <v>2040550</v>
      </c>
      <c r="B293" s="419" t="s">
        <v>174</v>
      </c>
      <c r="C293" s="307">
        <v>0</v>
      </c>
      <c r="D293" s="343"/>
      <c r="E293" s="307"/>
      <c r="F293" s="414"/>
      <c r="G293" s="346">
        <f t="shared" si="114"/>
        <v>0</v>
      </c>
      <c r="H293" s="414"/>
      <c r="I293" s="343"/>
      <c r="J293" s="307">
        <f t="shared" si="115"/>
        <v>0</v>
      </c>
      <c r="K293" s="306"/>
      <c r="M293">
        <f t="shared" si="98"/>
        <v>0</v>
      </c>
      <c r="N293" s="415"/>
      <c r="O293" s="415"/>
    </row>
    <row r="294" customFormat="1" ht="20" customHeight="1" spans="1:17">
      <c r="A294" s="418">
        <v>2040599</v>
      </c>
      <c r="B294" s="419" t="s">
        <v>328</v>
      </c>
      <c r="C294" s="307">
        <v>0.2</v>
      </c>
      <c r="D294" s="343"/>
      <c r="E294" s="307"/>
      <c r="F294" s="414"/>
      <c r="G294" s="346">
        <f t="shared" si="114"/>
        <v>-0.2</v>
      </c>
      <c r="H294" s="414">
        <f t="shared" ref="H294:H297" si="120">G294/C294*100</f>
        <v>-100</v>
      </c>
      <c r="I294" s="343"/>
      <c r="J294" s="307">
        <f t="shared" si="115"/>
        <v>0</v>
      </c>
      <c r="K294" s="306"/>
      <c r="M294">
        <f t="shared" si="98"/>
        <v>0</v>
      </c>
      <c r="N294" s="415"/>
      <c r="O294" s="415"/>
    </row>
    <row r="295" customFormat="1" ht="20" customHeight="1" spans="1:17">
      <c r="A295" s="416">
        <v>20406</v>
      </c>
      <c r="B295" s="417" t="s">
        <v>329</v>
      </c>
      <c r="C295" s="346">
        <f>SUM(C296:C308)</f>
        <v>932.573341</v>
      </c>
      <c r="D295" s="346">
        <f t="shared" ref="D295:I295" si="121">SUM(D296:D308)</f>
        <v>782.199653</v>
      </c>
      <c r="E295" s="346">
        <f t="shared" si="121"/>
        <v>1067</v>
      </c>
      <c r="F295" s="414">
        <f t="shared" ref="F295:F297" si="122">E295/D295*100</f>
        <v>136.410185802013</v>
      </c>
      <c r="G295" s="346">
        <f t="shared" si="114"/>
        <v>134.426659</v>
      </c>
      <c r="H295" s="414">
        <f t="shared" si="120"/>
        <v>14.4145938008322</v>
      </c>
      <c r="I295" s="346">
        <f t="shared" si="121"/>
        <v>915.465693</v>
      </c>
      <c r="J295" s="307">
        <f t="shared" si="115"/>
        <v>133.26604</v>
      </c>
      <c r="K295" s="306">
        <f t="shared" ref="K295:K297" si="123">J295/D295*100</f>
        <v>17.0373432778805</v>
      </c>
      <c r="M295">
        <f t="shared" si="98"/>
        <v>0</v>
      </c>
      <c r="N295" s="415"/>
      <c r="O295" s="415"/>
    </row>
    <row r="296" customFormat="1" ht="20" customHeight="1" spans="1:17">
      <c r="A296" s="418">
        <v>2040601</v>
      </c>
      <c r="B296" s="421" t="s">
        <v>165</v>
      </c>
      <c r="C296" s="343">
        <v>609.106423</v>
      </c>
      <c r="D296" s="425">
        <v>568.183109</v>
      </c>
      <c r="E296" s="343">
        <v>565</v>
      </c>
      <c r="F296" s="414">
        <f t="shared" si="122"/>
        <v>99.4397740887436</v>
      </c>
      <c r="G296" s="346">
        <f t="shared" si="114"/>
        <v>-44.1064229999999</v>
      </c>
      <c r="H296" s="414">
        <f t="shared" si="120"/>
        <v>-7.24116859296359</v>
      </c>
      <c r="I296" s="420">
        <v>529.569268</v>
      </c>
      <c r="J296" s="307">
        <f t="shared" si="115"/>
        <v>-38.613841</v>
      </c>
      <c r="K296" s="306">
        <f t="shared" si="123"/>
        <v>-6.79602057652861</v>
      </c>
      <c r="M296">
        <f t="shared" si="98"/>
        <v>577</v>
      </c>
      <c r="N296" s="415">
        <v>577</v>
      </c>
      <c r="O296" s="415"/>
    </row>
    <row r="297" customFormat="1" ht="20" customHeight="1" spans="1:17">
      <c r="A297" s="418">
        <v>2040602</v>
      </c>
      <c r="B297" s="421" t="s">
        <v>166</v>
      </c>
      <c r="C297" s="343">
        <v>250.113508</v>
      </c>
      <c r="D297" s="425">
        <v>61.3104</v>
      </c>
      <c r="E297" s="343">
        <v>264</v>
      </c>
      <c r="F297" s="414">
        <f t="shared" si="122"/>
        <v>430.595787990292</v>
      </c>
      <c r="G297" s="346">
        <f t="shared" si="114"/>
        <v>13.886492</v>
      </c>
      <c r="H297" s="414">
        <f t="shared" si="120"/>
        <v>5.55207597983872</v>
      </c>
      <c r="I297" s="425"/>
      <c r="J297" s="307">
        <f t="shared" si="115"/>
        <v>-61.3104</v>
      </c>
      <c r="K297" s="306">
        <f t="shared" si="123"/>
        <v>-100</v>
      </c>
      <c r="M297">
        <f t="shared" si="98"/>
        <v>114</v>
      </c>
      <c r="N297" s="415">
        <v>114</v>
      </c>
      <c r="O297" s="415"/>
      <c r="Q297">
        <v>38</v>
      </c>
    </row>
    <row r="298" customFormat="1" ht="20" customHeight="1" spans="1:17">
      <c r="A298" s="418">
        <v>2040603</v>
      </c>
      <c r="B298" s="421" t="s">
        <v>167</v>
      </c>
      <c r="C298" s="343">
        <v>0</v>
      </c>
      <c r="D298" s="343"/>
      <c r="E298" s="343">
        <v>0</v>
      </c>
      <c r="F298" s="414"/>
      <c r="G298" s="346">
        <f t="shared" si="114"/>
        <v>0</v>
      </c>
      <c r="H298" s="414"/>
      <c r="I298" s="343"/>
      <c r="J298" s="307">
        <f t="shared" si="115"/>
        <v>0</v>
      </c>
      <c r="K298" s="306"/>
      <c r="M298">
        <f t="shared" si="98"/>
        <v>0</v>
      </c>
      <c r="N298" s="415"/>
      <c r="O298" s="415"/>
    </row>
    <row r="299" customFormat="1" ht="20" customHeight="1" spans="1:17">
      <c r="A299" s="418">
        <v>2040604</v>
      </c>
      <c r="B299" s="422" t="s">
        <v>330</v>
      </c>
      <c r="C299" s="343">
        <v>12.766</v>
      </c>
      <c r="D299" s="343">
        <v>6.11</v>
      </c>
      <c r="E299" s="343">
        <v>29</v>
      </c>
      <c r="F299" s="414">
        <f>E299/D299*100</f>
        <v>474.631751227496</v>
      </c>
      <c r="G299" s="346">
        <f t="shared" si="114"/>
        <v>16.234</v>
      </c>
      <c r="H299" s="414">
        <f t="shared" ref="H299:H302" si="124">G299/C299*100</f>
        <v>127.165909446969</v>
      </c>
      <c r="I299" s="343">
        <f>1.63+130+4.8</f>
        <v>136.43</v>
      </c>
      <c r="J299" s="307">
        <f t="shared" si="115"/>
        <v>130.32</v>
      </c>
      <c r="K299" s="306">
        <f>J299/D299*100</f>
        <v>2132.8968903437</v>
      </c>
      <c r="M299">
        <f t="shared" si="98"/>
        <v>15</v>
      </c>
      <c r="N299" s="415">
        <v>15</v>
      </c>
      <c r="O299" s="415"/>
      <c r="P299">
        <v>6</v>
      </c>
    </row>
    <row r="300" customFormat="1" ht="20" customHeight="1" spans="1:17">
      <c r="A300" s="418">
        <v>2040605</v>
      </c>
      <c r="B300" s="419" t="s">
        <v>331</v>
      </c>
      <c r="C300" s="343">
        <v>5</v>
      </c>
      <c r="D300" s="343"/>
      <c r="E300" s="343"/>
      <c r="F300" s="414"/>
      <c r="G300" s="346">
        <f t="shared" si="114"/>
        <v>-5</v>
      </c>
      <c r="H300" s="414">
        <f t="shared" si="124"/>
        <v>-100</v>
      </c>
      <c r="I300" s="343"/>
      <c r="J300" s="307">
        <f t="shared" si="115"/>
        <v>0</v>
      </c>
      <c r="K300" s="306"/>
      <c r="M300">
        <f t="shared" si="98"/>
        <v>10</v>
      </c>
      <c r="N300" s="415">
        <v>10</v>
      </c>
      <c r="O300" s="415"/>
    </row>
    <row r="301" customFormat="1" ht="20" customHeight="1" spans="1:17">
      <c r="A301" s="418">
        <v>2040606</v>
      </c>
      <c r="B301" s="419" t="s">
        <v>332</v>
      </c>
      <c r="C301" s="343">
        <v>0</v>
      </c>
      <c r="D301" s="425">
        <v>15</v>
      </c>
      <c r="E301" s="343">
        <v>0</v>
      </c>
      <c r="F301" s="414">
        <f>E301/D301*100</f>
        <v>0</v>
      </c>
      <c r="G301" s="346">
        <f t="shared" si="114"/>
        <v>0</v>
      </c>
      <c r="H301" s="414"/>
      <c r="I301" s="420">
        <v>10</v>
      </c>
      <c r="J301" s="307">
        <f t="shared" si="115"/>
        <v>-5</v>
      </c>
      <c r="K301" s="306">
        <f>J301/D301*100</f>
        <v>-33.3333333333333</v>
      </c>
      <c r="M301">
        <f t="shared" ref="M301:M364" si="125">N301+O301</f>
        <v>15</v>
      </c>
      <c r="N301" s="415">
        <v>15</v>
      </c>
      <c r="O301" s="415"/>
    </row>
    <row r="302" customFormat="1" ht="20" customHeight="1" spans="1:17">
      <c r="A302" s="418">
        <v>2040607</v>
      </c>
      <c r="B302" s="419" t="s">
        <v>333</v>
      </c>
      <c r="C302" s="343">
        <v>11</v>
      </c>
      <c r="D302" s="343"/>
      <c r="E302" s="343">
        <v>11</v>
      </c>
      <c r="F302" s="414"/>
      <c r="G302" s="346">
        <f t="shared" si="114"/>
        <v>0</v>
      </c>
      <c r="H302" s="414">
        <f t="shared" si="124"/>
        <v>0</v>
      </c>
      <c r="I302" s="343"/>
      <c r="J302" s="307">
        <f t="shared" si="115"/>
        <v>0</v>
      </c>
      <c r="K302" s="306"/>
      <c r="M302">
        <f t="shared" si="125"/>
        <v>3</v>
      </c>
      <c r="N302" s="415">
        <v>3</v>
      </c>
      <c r="O302" s="415"/>
    </row>
    <row r="303" customFormat="1" ht="20" customHeight="1" spans="1:17">
      <c r="A303" s="418">
        <v>2040608</v>
      </c>
      <c r="B303" s="421" t="s">
        <v>334</v>
      </c>
      <c r="C303" s="343">
        <v>0</v>
      </c>
      <c r="D303" s="343"/>
      <c r="E303" s="343">
        <v>0</v>
      </c>
      <c r="F303" s="414"/>
      <c r="G303" s="346">
        <f t="shared" si="114"/>
        <v>0</v>
      </c>
      <c r="H303" s="414"/>
      <c r="I303" s="343"/>
      <c r="J303" s="307">
        <f t="shared" si="115"/>
        <v>0</v>
      </c>
      <c r="K303" s="306"/>
      <c r="M303">
        <f t="shared" si="125"/>
        <v>0</v>
      </c>
      <c r="N303" s="415"/>
      <c r="O303" s="415"/>
    </row>
    <row r="304" customFormat="1" ht="20" customHeight="1" spans="1:17">
      <c r="A304" s="418">
        <v>2040610</v>
      </c>
      <c r="B304" s="421" t="s">
        <v>335</v>
      </c>
      <c r="C304" s="343">
        <v>8.986</v>
      </c>
      <c r="D304" s="343"/>
      <c r="E304" s="343"/>
      <c r="F304" s="414"/>
      <c r="G304" s="346">
        <f t="shared" si="114"/>
        <v>-8.986</v>
      </c>
      <c r="H304" s="414">
        <f t="shared" ref="H304:H308" si="126">G304/C304*100</f>
        <v>-100</v>
      </c>
      <c r="I304" s="343">
        <v>9</v>
      </c>
      <c r="J304" s="307">
        <f t="shared" si="115"/>
        <v>9</v>
      </c>
      <c r="K304" s="306"/>
      <c r="M304">
        <f t="shared" si="125"/>
        <v>12</v>
      </c>
      <c r="N304" s="415">
        <v>12</v>
      </c>
      <c r="O304" s="415"/>
    </row>
    <row r="305" customFormat="1" ht="20" customHeight="1" spans="1:15">
      <c r="A305" s="418">
        <v>2040612</v>
      </c>
      <c r="B305" s="421" t="s">
        <v>336</v>
      </c>
      <c r="C305" s="343">
        <v>1.223</v>
      </c>
      <c r="D305" s="343"/>
      <c r="E305" s="343"/>
      <c r="F305" s="414"/>
      <c r="G305" s="346">
        <f t="shared" si="114"/>
        <v>-1.223</v>
      </c>
      <c r="H305" s="414">
        <f t="shared" si="126"/>
        <v>-100</v>
      </c>
      <c r="I305" s="343"/>
      <c r="J305" s="307">
        <f t="shared" si="115"/>
        <v>0</v>
      </c>
      <c r="K305" s="306"/>
      <c r="M305">
        <f t="shared" si="125"/>
        <v>1</v>
      </c>
      <c r="N305" s="415">
        <v>1</v>
      </c>
      <c r="O305" s="415"/>
    </row>
    <row r="306" customFormat="1" ht="20" customHeight="1" spans="1:15">
      <c r="A306" s="418">
        <v>2040613</v>
      </c>
      <c r="B306" s="421" t="s">
        <v>207</v>
      </c>
      <c r="C306" s="343">
        <v>0</v>
      </c>
      <c r="D306" s="343"/>
      <c r="E306" s="343">
        <v>0</v>
      </c>
      <c r="F306" s="414"/>
      <c r="G306" s="346">
        <f t="shared" si="114"/>
        <v>0</v>
      </c>
      <c r="H306" s="414"/>
      <c r="I306" s="343"/>
      <c r="J306" s="307">
        <f t="shared" si="115"/>
        <v>0</v>
      </c>
      <c r="K306" s="306"/>
      <c r="M306">
        <f t="shared" si="125"/>
        <v>0</v>
      </c>
      <c r="N306" s="415"/>
      <c r="O306" s="415"/>
    </row>
    <row r="307" customFormat="1" ht="20" customHeight="1" spans="1:15">
      <c r="A307" s="418">
        <v>2040650</v>
      </c>
      <c r="B307" s="421" t="s">
        <v>174</v>
      </c>
      <c r="C307" s="343">
        <v>0</v>
      </c>
      <c r="D307" s="425">
        <v>60.044844</v>
      </c>
      <c r="E307" s="343">
        <v>65</v>
      </c>
      <c r="F307" s="414">
        <f>E307/D307*100</f>
        <v>108.252425470537</v>
      </c>
      <c r="G307" s="346">
        <f t="shared" si="114"/>
        <v>65</v>
      </c>
      <c r="H307" s="414"/>
      <c r="I307" s="420">
        <v>70.208425</v>
      </c>
      <c r="J307" s="307">
        <f t="shared" si="115"/>
        <v>10.163581</v>
      </c>
      <c r="K307" s="306">
        <f>J307/D307*100</f>
        <v>16.9266506879425</v>
      </c>
      <c r="M307">
        <f t="shared" si="125"/>
        <v>0</v>
      </c>
      <c r="N307" s="415"/>
      <c r="O307" s="415"/>
    </row>
    <row r="308" customFormat="1" ht="20" customHeight="1" spans="1:15">
      <c r="A308" s="418">
        <v>2040699</v>
      </c>
      <c r="B308" s="419" t="s">
        <v>337</v>
      </c>
      <c r="C308" s="343">
        <v>34.37841</v>
      </c>
      <c r="D308" s="425">
        <f>53.1+18.4513</f>
        <v>71.5513</v>
      </c>
      <c r="E308" s="343">
        <v>133</v>
      </c>
      <c r="F308" s="414">
        <f>E308/D308*100</f>
        <v>185.880619918855</v>
      </c>
      <c r="G308" s="346">
        <f t="shared" si="114"/>
        <v>98.62159</v>
      </c>
      <c r="H308" s="414">
        <f t="shared" si="126"/>
        <v>286.870713334328</v>
      </c>
      <c r="I308" s="420">
        <f>31.768+33.49+95</f>
        <v>160.258</v>
      </c>
      <c r="J308" s="307">
        <f t="shared" si="115"/>
        <v>88.7067</v>
      </c>
      <c r="K308" s="306">
        <f>J308/D308*100</f>
        <v>123.976363811699</v>
      </c>
      <c r="M308">
        <f t="shared" si="125"/>
        <v>0</v>
      </c>
      <c r="N308" s="415"/>
      <c r="O308" s="415"/>
    </row>
    <row r="309" customFormat="1" ht="20" customHeight="1" spans="1:15">
      <c r="A309" s="416">
        <v>20407</v>
      </c>
      <c r="B309" s="417" t="s">
        <v>338</v>
      </c>
      <c r="C309" s="346">
        <v>0</v>
      </c>
      <c r="D309" s="346"/>
      <c r="E309" s="346">
        <v>0</v>
      </c>
      <c r="F309" s="414"/>
      <c r="G309" s="346">
        <f t="shared" si="114"/>
        <v>0</v>
      </c>
      <c r="H309" s="414"/>
      <c r="I309" s="346">
        <f>SUM(I310:I318)</f>
        <v>227.009989</v>
      </c>
      <c r="J309" s="307">
        <f t="shared" si="115"/>
        <v>227.009989</v>
      </c>
      <c r="K309" s="306"/>
      <c r="M309">
        <f t="shared" si="125"/>
        <v>0</v>
      </c>
      <c r="N309" s="415"/>
      <c r="O309" s="415"/>
    </row>
    <row r="310" customFormat="1" ht="20" customHeight="1" spans="1:15">
      <c r="A310" s="418">
        <v>2040701</v>
      </c>
      <c r="B310" s="419" t="s">
        <v>165</v>
      </c>
      <c r="C310" s="343">
        <v>0</v>
      </c>
      <c r="D310" s="343"/>
      <c r="E310" s="343">
        <v>0</v>
      </c>
      <c r="F310" s="414"/>
      <c r="G310" s="346">
        <f t="shared" si="114"/>
        <v>0</v>
      </c>
      <c r="H310" s="414"/>
      <c r="I310" s="343"/>
      <c r="J310" s="307">
        <f t="shared" si="115"/>
        <v>0</v>
      </c>
      <c r="K310" s="306"/>
      <c r="M310">
        <f t="shared" si="125"/>
        <v>0</v>
      </c>
      <c r="N310" s="415"/>
      <c r="O310" s="415"/>
    </row>
    <row r="311" customFormat="1" ht="20" customHeight="1" spans="1:15">
      <c r="A311" s="418">
        <v>2040702</v>
      </c>
      <c r="B311" s="421" t="s">
        <v>166</v>
      </c>
      <c r="C311" s="343">
        <v>0</v>
      </c>
      <c r="D311" s="343"/>
      <c r="E311" s="343">
        <v>0</v>
      </c>
      <c r="F311" s="414"/>
      <c r="G311" s="346">
        <f t="shared" si="114"/>
        <v>0</v>
      </c>
      <c r="H311" s="414"/>
      <c r="I311" s="420">
        <v>227.009989</v>
      </c>
      <c r="J311" s="307">
        <f t="shared" si="115"/>
        <v>227.009989</v>
      </c>
      <c r="K311" s="306"/>
      <c r="M311">
        <f t="shared" si="125"/>
        <v>0</v>
      </c>
      <c r="N311" s="415"/>
      <c r="O311" s="415"/>
    </row>
    <row r="312" customFormat="1" ht="20" customHeight="1" spans="1:15">
      <c r="A312" s="418">
        <v>2040703</v>
      </c>
      <c r="B312" s="421" t="s">
        <v>167</v>
      </c>
      <c r="C312" s="343">
        <v>0</v>
      </c>
      <c r="D312" s="343"/>
      <c r="E312" s="343">
        <v>0</v>
      </c>
      <c r="F312" s="414"/>
      <c r="G312" s="346">
        <f t="shared" si="114"/>
        <v>0</v>
      </c>
      <c r="H312" s="414"/>
      <c r="I312" s="343"/>
      <c r="J312" s="307">
        <f t="shared" si="115"/>
        <v>0</v>
      </c>
      <c r="K312" s="306"/>
      <c r="M312">
        <f t="shared" si="125"/>
        <v>0</v>
      </c>
      <c r="N312" s="415"/>
      <c r="O312" s="415"/>
    </row>
    <row r="313" customFormat="1" ht="20" customHeight="1" spans="1:15">
      <c r="A313" s="418">
        <v>2040704</v>
      </c>
      <c r="B313" s="421" t="s">
        <v>339</v>
      </c>
      <c r="C313" s="343">
        <v>0</v>
      </c>
      <c r="D313" s="343"/>
      <c r="E313" s="343">
        <v>0</v>
      </c>
      <c r="F313" s="414"/>
      <c r="G313" s="346">
        <f t="shared" si="114"/>
        <v>0</v>
      </c>
      <c r="H313" s="414"/>
      <c r="I313" s="343"/>
      <c r="J313" s="307">
        <f t="shared" si="115"/>
        <v>0</v>
      </c>
      <c r="K313" s="306"/>
      <c r="M313">
        <f t="shared" si="125"/>
        <v>0</v>
      </c>
      <c r="N313" s="415"/>
      <c r="O313" s="415"/>
    </row>
    <row r="314" customFormat="1" ht="20" customHeight="1" spans="1:15">
      <c r="A314" s="418">
        <v>2040705</v>
      </c>
      <c r="B314" s="422" t="s">
        <v>340</v>
      </c>
      <c r="C314" s="343">
        <v>0</v>
      </c>
      <c r="D314" s="343"/>
      <c r="E314" s="343">
        <v>0</v>
      </c>
      <c r="F314" s="414"/>
      <c r="G314" s="346">
        <f t="shared" si="114"/>
        <v>0</v>
      </c>
      <c r="H314" s="414"/>
      <c r="I314" s="343"/>
      <c r="J314" s="307">
        <f t="shared" si="115"/>
        <v>0</v>
      </c>
      <c r="K314" s="306"/>
      <c r="M314">
        <f t="shared" si="125"/>
        <v>0</v>
      </c>
      <c r="N314" s="415"/>
      <c r="O314" s="415"/>
    </row>
    <row r="315" customFormat="1" ht="20" customHeight="1" spans="1:15">
      <c r="A315" s="418">
        <v>2040706</v>
      </c>
      <c r="B315" s="419" t="s">
        <v>341</v>
      </c>
      <c r="C315" s="343">
        <v>0</v>
      </c>
      <c r="D315" s="343"/>
      <c r="E315" s="343">
        <v>0</v>
      </c>
      <c r="F315" s="414"/>
      <c r="G315" s="346">
        <f t="shared" si="114"/>
        <v>0</v>
      </c>
      <c r="H315" s="414"/>
      <c r="I315" s="343"/>
      <c r="J315" s="307">
        <f t="shared" si="115"/>
        <v>0</v>
      </c>
      <c r="K315" s="306"/>
      <c r="M315">
        <f t="shared" si="125"/>
        <v>0</v>
      </c>
      <c r="N315" s="415"/>
      <c r="O315" s="415"/>
    </row>
    <row r="316" customFormat="1" ht="20" customHeight="1" spans="1:15">
      <c r="A316" s="418">
        <v>2040707</v>
      </c>
      <c r="B316" s="419" t="s">
        <v>207</v>
      </c>
      <c r="C316" s="343">
        <v>0</v>
      </c>
      <c r="D316" s="343"/>
      <c r="E316" s="343">
        <v>0</v>
      </c>
      <c r="F316" s="414"/>
      <c r="G316" s="346">
        <f t="shared" si="114"/>
        <v>0</v>
      </c>
      <c r="H316" s="414"/>
      <c r="I316" s="343"/>
      <c r="J316" s="307">
        <f t="shared" si="115"/>
        <v>0</v>
      </c>
      <c r="K316" s="306"/>
      <c r="M316">
        <f t="shared" si="125"/>
        <v>0</v>
      </c>
      <c r="N316" s="415"/>
      <c r="O316" s="415"/>
    </row>
    <row r="317" customFormat="1" ht="20" customHeight="1" spans="1:15">
      <c r="A317" s="418">
        <v>2040750</v>
      </c>
      <c r="B317" s="419" t="s">
        <v>174</v>
      </c>
      <c r="C317" s="343">
        <v>0</v>
      </c>
      <c r="D317" s="343"/>
      <c r="E317" s="343">
        <v>0</v>
      </c>
      <c r="F317" s="414"/>
      <c r="G317" s="346">
        <f t="shared" si="114"/>
        <v>0</v>
      </c>
      <c r="H317" s="414"/>
      <c r="I317" s="343"/>
      <c r="J317" s="307">
        <f t="shared" si="115"/>
        <v>0</v>
      </c>
      <c r="K317" s="306"/>
      <c r="M317">
        <f t="shared" si="125"/>
        <v>0</v>
      </c>
      <c r="N317" s="415"/>
      <c r="O317" s="415"/>
    </row>
    <row r="318" customFormat="1" ht="20" customHeight="1" spans="1:15">
      <c r="A318" s="418">
        <v>2040799</v>
      </c>
      <c r="B318" s="419" t="s">
        <v>342</v>
      </c>
      <c r="C318" s="343">
        <v>0</v>
      </c>
      <c r="D318" s="343"/>
      <c r="E318" s="343">
        <v>0</v>
      </c>
      <c r="F318" s="414"/>
      <c r="G318" s="346">
        <f t="shared" si="114"/>
        <v>0</v>
      </c>
      <c r="H318" s="414"/>
      <c r="I318" s="343"/>
      <c r="J318" s="307">
        <f t="shared" si="115"/>
        <v>0</v>
      </c>
      <c r="K318" s="306"/>
      <c r="M318">
        <f t="shared" si="125"/>
        <v>0</v>
      </c>
      <c r="N318" s="415"/>
      <c r="O318" s="415"/>
    </row>
    <row r="319" customFormat="1" ht="20" customHeight="1" spans="1:15">
      <c r="A319" s="416">
        <v>20408</v>
      </c>
      <c r="B319" s="426" t="s">
        <v>343</v>
      </c>
      <c r="C319" s="346">
        <v>0</v>
      </c>
      <c r="D319" s="346"/>
      <c r="E319" s="346">
        <v>0</v>
      </c>
      <c r="F319" s="414"/>
      <c r="G319" s="346">
        <f t="shared" si="114"/>
        <v>0</v>
      </c>
      <c r="H319" s="414"/>
      <c r="I319" s="346"/>
      <c r="J319" s="307">
        <f t="shared" si="115"/>
        <v>0</v>
      </c>
      <c r="K319" s="306"/>
      <c r="M319">
        <f t="shared" si="125"/>
        <v>0</v>
      </c>
      <c r="N319" s="415"/>
      <c r="O319" s="415"/>
    </row>
    <row r="320" customFormat="1" ht="20" customHeight="1" spans="1:15">
      <c r="A320" s="418">
        <v>2040801</v>
      </c>
      <c r="B320" s="421" t="s">
        <v>165</v>
      </c>
      <c r="C320" s="343">
        <v>0</v>
      </c>
      <c r="D320" s="343"/>
      <c r="E320" s="343">
        <v>0</v>
      </c>
      <c r="F320" s="414"/>
      <c r="G320" s="346">
        <f t="shared" si="114"/>
        <v>0</v>
      </c>
      <c r="H320" s="414"/>
      <c r="I320" s="343"/>
      <c r="J320" s="307">
        <f t="shared" si="115"/>
        <v>0</v>
      </c>
      <c r="K320" s="306"/>
      <c r="M320">
        <f t="shared" si="125"/>
        <v>0</v>
      </c>
      <c r="N320" s="415"/>
      <c r="O320" s="415"/>
    </row>
    <row r="321" customFormat="1" ht="20" customHeight="1" spans="1:15">
      <c r="A321" s="418">
        <v>2040802</v>
      </c>
      <c r="B321" s="421" t="s">
        <v>166</v>
      </c>
      <c r="C321" s="343">
        <v>0</v>
      </c>
      <c r="D321" s="343"/>
      <c r="E321" s="343">
        <v>0</v>
      </c>
      <c r="F321" s="414"/>
      <c r="G321" s="346">
        <f t="shared" si="114"/>
        <v>0</v>
      </c>
      <c r="H321" s="414"/>
      <c r="I321" s="343"/>
      <c r="J321" s="307">
        <f t="shared" si="115"/>
        <v>0</v>
      </c>
      <c r="K321" s="306"/>
      <c r="M321">
        <f t="shared" si="125"/>
        <v>0</v>
      </c>
      <c r="N321" s="415"/>
      <c r="O321" s="415"/>
    </row>
    <row r="322" customFormat="1" ht="20" customHeight="1" spans="1:15">
      <c r="A322" s="418">
        <v>2040803</v>
      </c>
      <c r="B322" s="419" t="s">
        <v>167</v>
      </c>
      <c r="C322" s="343">
        <v>0</v>
      </c>
      <c r="D322" s="343"/>
      <c r="E322" s="343">
        <v>0</v>
      </c>
      <c r="F322" s="414"/>
      <c r="G322" s="346">
        <f t="shared" si="114"/>
        <v>0</v>
      </c>
      <c r="H322" s="414"/>
      <c r="I322" s="343"/>
      <c r="J322" s="307">
        <f t="shared" si="115"/>
        <v>0</v>
      </c>
      <c r="K322" s="306"/>
      <c r="M322">
        <f t="shared" si="125"/>
        <v>0</v>
      </c>
      <c r="N322" s="415"/>
      <c r="O322" s="415"/>
    </row>
    <row r="323" customFormat="1" ht="20" customHeight="1" spans="1:15">
      <c r="A323" s="418">
        <v>2040804</v>
      </c>
      <c r="B323" s="419" t="s">
        <v>344</v>
      </c>
      <c r="C323" s="343">
        <v>0</v>
      </c>
      <c r="D323" s="343"/>
      <c r="E323" s="343">
        <v>0</v>
      </c>
      <c r="F323" s="414"/>
      <c r="G323" s="346">
        <f t="shared" si="114"/>
        <v>0</v>
      </c>
      <c r="H323" s="414"/>
      <c r="I323" s="343"/>
      <c r="J323" s="307">
        <f t="shared" si="115"/>
        <v>0</v>
      </c>
      <c r="K323" s="306"/>
      <c r="M323">
        <f t="shared" si="125"/>
        <v>0</v>
      </c>
      <c r="N323" s="415"/>
      <c r="O323" s="415"/>
    </row>
    <row r="324" customFormat="1" ht="20" customHeight="1" spans="1:15">
      <c r="A324" s="418">
        <v>2040805</v>
      </c>
      <c r="B324" s="419" t="s">
        <v>345</v>
      </c>
      <c r="C324" s="343">
        <v>0</v>
      </c>
      <c r="D324" s="343"/>
      <c r="E324" s="343">
        <v>0</v>
      </c>
      <c r="F324" s="414"/>
      <c r="G324" s="346">
        <f t="shared" si="114"/>
        <v>0</v>
      </c>
      <c r="H324" s="414"/>
      <c r="I324" s="343"/>
      <c r="J324" s="307">
        <f t="shared" si="115"/>
        <v>0</v>
      </c>
      <c r="K324" s="306"/>
      <c r="M324">
        <f t="shared" si="125"/>
        <v>0</v>
      </c>
      <c r="N324" s="415"/>
      <c r="O324" s="415"/>
    </row>
    <row r="325" customFormat="1" ht="20" customHeight="1" spans="1:15">
      <c r="A325" s="418">
        <v>2040806</v>
      </c>
      <c r="B325" s="421" t="s">
        <v>346</v>
      </c>
      <c r="C325" s="343">
        <v>0</v>
      </c>
      <c r="D325" s="343"/>
      <c r="E325" s="343">
        <v>0</v>
      </c>
      <c r="F325" s="414"/>
      <c r="G325" s="346">
        <f t="shared" si="114"/>
        <v>0</v>
      </c>
      <c r="H325" s="414"/>
      <c r="I325" s="343"/>
      <c r="J325" s="307">
        <f t="shared" si="115"/>
        <v>0</v>
      </c>
      <c r="K325" s="306"/>
      <c r="M325">
        <f t="shared" si="125"/>
        <v>0</v>
      </c>
      <c r="N325" s="415"/>
      <c r="O325" s="415"/>
    </row>
    <row r="326" customFormat="1" ht="20" customHeight="1" spans="1:15">
      <c r="A326" s="418">
        <v>2040807</v>
      </c>
      <c r="B326" s="419" t="s">
        <v>207</v>
      </c>
      <c r="C326" s="343">
        <v>0</v>
      </c>
      <c r="D326" s="343"/>
      <c r="E326" s="343">
        <v>0</v>
      </c>
      <c r="F326" s="414"/>
      <c r="G326" s="346">
        <f t="shared" ref="G326:G389" si="127">E326-C326</f>
        <v>0</v>
      </c>
      <c r="H326" s="414"/>
      <c r="I326" s="343"/>
      <c r="J326" s="307">
        <f t="shared" ref="J326:J389" si="128">I326-D326</f>
        <v>0</v>
      </c>
      <c r="K326" s="306"/>
      <c r="M326">
        <f t="shared" si="125"/>
        <v>0</v>
      </c>
      <c r="N326" s="415"/>
      <c r="O326" s="415"/>
    </row>
    <row r="327" customFormat="1" ht="20" customHeight="1" spans="1:15">
      <c r="A327" s="418">
        <v>2040850</v>
      </c>
      <c r="B327" s="421" t="s">
        <v>174</v>
      </c>
      <c r="C327" s="343">
        <v>0</v>
      </c>
      <c r="D327" s="343"/>
      <c r="E327" s="343">
        <v>0</v>
      </c>
      <c r="F327" s="414"/>
      <c r="G327" s="346">
        <f t="shared" si="127"/>
        <v>0</v>
      </c>
      <c r="H327" s="414"/>
      <c r="I327" s="343"/>
      <c r="J327" s="307">
        <f t="shared" si="128"/>
        <v>0</v>
      </c>
      <c r="K327" s="306"/>
      <c r="M327">
        <f t="shared" si="125"/>
        <v>0</v>
      </c>
      <c r="N327" s="415"/>
      <c r="O327" s="415"/>
    </row>
    <row r="328" customFormat="1" ht="20" customHeight="1" spans="1:15">
      <c r="A328" s="418">
        <v>2040899</v>
      </c>
      <c r="B328" s="421" t="s">
        <v>347</v>
      </c>
      <c r="C328" s="343">
        <v>0</v>
      </c>
      <c r="D328" s="343"/>
      <c r="E328" s="343">
        <v>0</v>
      </c>
      <c r="F328" s="414"/>
      <c r="G328" s="346">
        <f t="shared" si="127"/>
        <v>0</v>
      </c>
      <c r="H328" s="414"/>
      <c r="I328" s="343"/>
      <c r="J328" s="307">
        <f t="shared" si="128"/>
        <v>0</v>
      </c>
      <c r="K328" s="306"/>
      <c r="M328">
        <f t="shared" si="125"/>
        <v>0</v>
      </c>
      <c r="N328" s="415"/>
      <c r="O328" s="415"/>
    </row>
    <row r="329" customFormat="1" ht="20" customHeight="1" spans="1:15">
      <c r="A329" s="416">
        <v>20409</v>
      </c>
      <c r="B329" s="427" t="s">
        <v>348</v>
      </c>
      <c r="C329" s="346">
        <v>0</v>
      </c>
      <c r="D329" s="346"/>
      <c r="E329" s="346">
        <v>0</v>
      </c>
      <c r="F329" s="414"/>
      <c r="G329" s="346">
        <f t="shared" si="127"/>
        <v>0</v>
      </c>
      <c r="H329" s="414"/>
      <c r="I329" s="346"/>
      <c r="J329" s="307">
        <f t="shared" si="128"/>
        <v>0</v>
      </c>
      <c r="K329" s="306"/>
      <c r="M329">
        <f t="shared" si="125"/>
        <v>0</v>
      </c>
      <c r="N329" s="415"/>
      <c r="O329" s="415"/>
    </row>
    <row r="330" customFormat="1" ht="20" customHeight="1" spans="1:15">
      <c r="A330" s="418">
        <v>2040901</v>
      </c>
      <c r="B330" s="419" t="s">
        <v>165</v>
      </c>
      <c r="C330" s="343">
        <v>0</v>
      </c>
      <c r="D330" s="343"/>
      <c r="E330" s="343">
        <v>0</v>
      </c>
      <c r="F330" s="414"/>
      <c r="G330" s="346">
        <f t="shared" si="127"/>
        <v>0</v>
      </c>
      <c r="H330" s="414"/>
      <c r="I330" s="343"/>
      <c r="J330" s="307">
        <f t="shared" si="128"/>
        <v>0</v>
      </c>
      <c r="K330" s="306"/>
      <c r="M330">
        <f t="shared" si="125"/>
        <v>0</v>
      </c>
      <c r="N330" s="415"/>
      <c r="O330" s="415"/>
    </row>
    <row r="331" customFormat="1" ht="20" customHeight="1" spans="1:15">
      <c r="A331" s="418">
        <v>2040902</v>
      </c>
      <c r="B331" s="419" t="s">
        <v>166</v>
      </c>
      <c r="C331" s="343">
        <v>0</v>
      </c>
      <c r="D331" s="343"/>
      <c r="E331" s="343">
        <v>0</v>
      </c>
      <c r="F331" s="414"/>
      <c r="G331" s="346">
        <f t="shared" si="127"/>
        <v>0</v>
      </c>
      <c r="H331" s="414"/>
      <c r="I331" s="343"/>
      <c r="J331" s="307">
        <f t="shared" si="128"/>
        <v>0</v>
      </c>
      <c r="K331" s="306"/>
      <c r="M331">
        <f t="shared" si="125"/>
        <v>0</v>
      </c>
      <c r="N331" s="415"/>
      <c r="O331" s="415"/>
    </row>
    <row r="332" customFormat="1" ht="20" customHeight="1" spans="1:15">
      <c r="A332" s="418">
        <v>2040903</v>
      </c>
      <c r="B332" s="419" t="s">
        <v>167</v>
      </c>
      <c r="C332" s="343">
        <v>0</v>
      </c>
      <c r="D332" s="343"/>
      <c r="E332" s="343">
        <v>0</v>
      </c>
      <c r="F332" s="414"/>
      <c r="G332" s="346">
        <f t="shared" si="127"/>
        <v>0</v>
      </c>
      <c r="H332" s="414"/>
      <c r="I332" s="343"/>
      <c r="J332" s="307">
        <f t="shared" si="128"/>
        <v>0</v>
      </c>
      <c r="K332" s="306"/>
      <c r="M332">
        <f t="shared" si="125"/>
        <v>0</v>
      </c>
      <c r="N332" s="415"/>
      <c r="O332" s="415"/>
    </row>
    <row r="333" customFormat="1" ht="20" customHeight="1" spans="1:15">
      <c r="A333" s="418">
        <v>2040904</v>
      </c>
      <c r="B333" s="421" t="s">
        <v>349</v>
      </c>
      <c r="C333" s="343">
        <v>0</v>
      </c>
      <c r="D333" s="343"/>
      <c r="E333" s="343">
        <v>0</v>
      </c>
      <c r="F333" s="414"/>
      <c r="G333" s="346">
        <f t="shared" si="127"/>
        <v>0</v>
      </c>
      <c r="H333" s="414"/>
      <c r="I333" s="343"/>
      <c r="J333" s="307">
        <f t="shared" si="128"/>
        <v>0</v>
      </c>
      <c r="K333" s="306"/>
      <c r="M333">
        <f t="shared" si="125"/>
        <v>0</v>
      </c>
      <c r="N333" s="415"/>
      <c r="O333" s="415"/>
    </row>
    <row r="334" customFormat="1" ht="20" customHeight="1" spans="1:15">
      <c r="A334" s="418">
        <v>2040905</v>
      </c>
      <c r="B334" s="421" t="s">
        <v>350</v>
      </c>
      <c r="C334" s="343">
        <v>0</v>
      </c>
      <c r="D334" s="343"/>
      <c r="E334" s="343">
        <v>0</v>
      </c>
      <c r="F334" s="414"/>
      <c r="G334" s="346">
        <f t="shared" si="127"/>
        <v>0</v>
      </c>
      <c r="H334" s="414"/>
      <c r="I334" s="343"/>
      <c r="J334" s="307">
        <f t="shared" si="128"/>
        <v>0</v>
      </c>
      <c r="K334" s="306"/>
      <c r="M334">
        <f t="shared" si="125"/>
        <v>0</v>
      </c>
      <c r="N334" s="415"/>
      <c r="O334" s="415"/>
    </row>
    <row r="335" customFormat="1" ht="20" customHeight="1" spans="1:15">
      <c r="A335" s="418">
        <v>2040950</v>
      </c>
      <c r="B335" s="421" t="s">
        <v>174</v>
      </c>
      <c r="C335" s="343">
        <v>0</v>
      </c>
      <c r="D335" s="343"/>
      <c r="E335" s="343">
        <v>0</v>
      </c>
      <c r="F335" s="414"/>
      <c r="G335" s="346">
        <f t="shared" si="127"/>
        <v>0</v>
      </c>
      <c r="H335" s="414"/>
      <c r="I335" s="343"/>
      <c r="J335" s="307">
        <f t="shared" si="128"/>
        <v>0</v>
      </c>
      <c r="K335" s="306"/>
      <c r="M335">
        <f t="shared" si="125"/>
        <v>0</v>
      </c>
      <c r="N335" s="415"/>
      <c r="O335" s="415"/>
    </row>
    <row r="336" customFormat="1" ht="20" customHeight="1" spans="1:15">
      <c r="A336" s="418">
        <v>2040999</v>
      </c>
      <c r="B336" s="419" t="s">
        <v>351</v>
      </c>
      <c r="C336" s="343">
        <v>0</v>
      </c>
      <c r="D336" s="343"/>
      <c r="E336" s="343">
        <v>0</v>
      </c>
      <c r="F336" s="414"/>
      <c r="G336" s="346">
        <f t="shared" si="127"/>
        <v>0</v>
      </c>
      <c r="H336" s="414"/>
      <c r="I336" s="343"/>
      <c r="J336" s="307">
        <f t="shared" si="128"/>
        <v>0</v>
      </c>
      <c r="K336" s="306"/>
      <c r="M336">
        <f t="shared" si="125"/>
        <v>0</v>
      </c>
      <c r="N336" s="415"/>
      <c r="O336" s="415"/>
    </row>
    <row r="337" customFormat="1" ht="20" customHeight="1" spans="1:17">
      <c r="A337" s="416">
        <v>20410</v>
      </c>
      <c r="B337" s="417" t="s">
        <v>352</v>
      </c>
      <c r="C337" s="346">
        <v>0</v>
      </c>
      <c r="D337" s="346"/>
      <c r="E337" s="346">
        <v>0</v>
      </c>
      <c r="F337" s="414"/>
      <c r="G337" s="346">
        <f t="shared" si="127"/>
        <v>0</v>
      </c>
      <c r="H337" s="414"/>
      <c r="I337" s="346"/>
      <c r="J337" s="307">
        <f t="shared" si="128"/>
        <v>0</v>
      </c>
      <c r="K337" s="306"/>
      <c r="M337">
        <f t="shared" si="125"/>
        <v>0</v>
      </c>
      <c r="N337" s="415"/>
      <c r="O337" s="415"/>
    </row>
    <row r="338" customFormat="1" ht="20" customHeight="1" spans="1:17">
      <c r="A338" s="418">
        <v>2041001</v>
      </c>
      <c r="B338" s="419" t="s">
        <v>165</v>
      </c>
      <c r="C338" s="343">
        <v>0</v>
      </c>
      <c r="D338" s="343"/>
      <c r="E338" s="343">
        <v>0</v>
      </c>
      <c r="F338" s="414"/>
      <c r="G338" s="346">
        <f t="shared" si="127"/>
        <v>0</v>
      </c>
      <c r="H338" s="414"/>
      <c r="I338" s="343"/>
      <c r="J338" s="307">
        <f t="shared" si="128"/>
        <v>0</v>
      </c>
      <c r="K338" s="306"/>
      <c r="M338">
        <f t="shared" si="125"/>
        <v>0</v>
      </c>
      <c r="N338" s="415"/>
      <c r="O338" s="415"/>
    </row>
    <row r="339" customFormat="1" ht="20" customHeight="1" spans="1:17">
      <c r="A339" s="418">
        <v>2041002</v>
      </c>
      <c r="B339" s="421" t="s">
        <v>166</v>
      </c>
      <c r="C339" s="343">
        <v>0</v>
      </c>
      <c r="D339" s="343"/>
      <c r="E339" s="343">
        <v>0</v>
      </c>
      <c r="F339" s="414"/>
      <c r="G339" s="346">
        <f t="shared" si="127"/>
        <v>0</v>
      </c>
      <c r="H339" s="414"/>
      <c r="I339" s="343"/>
      <c r="J339" s="307">
        <f t="shared" si="128"/>
        <v>0</v>
      </c>
      <c r="K339" s="306"/>
      <c r="M339">
        <f t="shared" si="125"/>
        <v>0</v>
      </c>
      <c r="N339" s="415"/>
      <c r="O339" s="415"/>
    </row>
    <row r="340" customFormat="1" ht="20" customHeight="1" spans="1:17">
      <c r="A340" s="418">
        <v>2041006</v>
      </c>
      <c r="B340" s="421" t="s">
        <v>207</v>
      </c>
      <c r="C340" s="343">
        <v>0</v>
      </c>
      <c r="D340" s="343"/>
      <c r="E340" s="343">
        <v>0</v>
      </c>
      <c r="F340" s="414"/>
      <c r="G340" s="346">
        <f t="shared" si="127"/>
        <v>0</v>
      </c>
      <c r="H340" s="414"/>
      <c r="I340" s="343"/>
      <c r="J340" s="307">
        <f t="shared" si="128"/>
        <v>0</v>
      </c>
      <c r="K340" s="306"/>
      <c r="M340">
        <f t="shared" si="125"/>
        <v>0</v>
      </c>
      <c r="N340" s="415"/>
      <c r="O340" s="415"/>
    </row>
    <row r="341" customFormat="1" ht="20" customHeight="1" spans="1:17">
      <c r="A341" s="418">
        <v>2041007</v>
      </c>
      <c r="B341" s="421" t="s">
        <v>353</v>
      </c>
      <c r="C341" s="343">
        <v>0</v>
      </c>
      <c r="D341" s="343"/>
      <c r="E341" s="343">
        <v>0</v>
      </c>
      <c r="F341" s="414"/>
      <c r="G341" s="346">
        <f t="shared" si="127"/>
        <v>0</v>
      </c>
      <c r="H341" s="414"/>
      <c r="I341" s="343"/>
      <c r="J341" s="307">
        <f t="shared" si="128"/>
        <v>0</v>
      </c>
      <c r="K341" s="306"/>
      <c r="M341">
        <f t="shared" si="125"/>
        <v>0</v>
      </c>
      <c r="N341" s="415"/>
      <c r="O341" s="415"/>
    </row>
    <row r="342" customFormat="1" ht="20" customHeight="1" spans="1:17">
      <c r="A342" s="418">
        <v>2041099</v>
      </c>
      <c r="B342" s="419" t="s">
        <v>354</v>
      </c>
      <c r="C342" s="343">
        <v>0</v>
      </c>
      <c r="D342" s="343"/>
      <c r="E342" s="343">
        <v>0</v>
      </c>
      <c r="F342" s="414"/>
      <c r="G342" s="346">
        <f t="shared" si="127"/>
        <v>0</v>
      </c>
      <c r="H342" s="414"/>
      <c r="I342" s="343"/>
      <c r="J342" s="307">
        <f t="shared" si="128"/>
        <v>0</v>
      </c>
      <c r="K342" s="306"/>
      <c r="M342">
        <f t="shared" si="125"/>
        <v>0</v>
      </c>
      <c r="N342" s="415"/>
      <c r="O342" s="415"/>
    </row>
    <row r="343" customFormat="1" ht="20" customHeight="1" spans="1:17">
      <c r="A343" s="416">
        <v>20499</v>
      </c>
      <c r="B343" s="426" t="s">
        <v>355</v>
      </c>
      <c r="C343" s="343">
        <v>63.90165</v>
      </c>
      <c r="D343" s="343"/>
      <c r="E343" s="343">
        <v>42</v>
      </c>
      <c r="F343" s="414"/>
      <c r="G343" s="346">
        <f t="shared" si="127"/>
        <v>-21.90165</v>
      </c>
      <c r="H343" s="414">
        <f t="shared" ref="H343:H347" si="129">G343/C343*100</f>
        <v>-34.2739976197798</v>
      </c>
      <c r="I343" s="343"/>
      <c r="J343" s="307">
        <f t="shared" si="128"/>
        <v>0</v>
      </c>
      <c r="K343" s="306"/>
      <c r="M343">
        <f t="shared" si="125"/>
        <v>0</v>
      </c>
      <c r="N343" s="415"/>
      <c r="O343" s="415"/>
    </row>
    <row r="344" s="278" customFormat="1" ht="20" customHeight="1" spans="1:17">
      <c r="A344" s="412">
        <v>205</v>
      </c>
      <c r="B344" s="413" t="s">
        <v>356</v>
      </c>
      <c r="C344" s="346">
        <f>SUM(C345:C393)/2+C394</f>
        <v>53091.525857</v>
      </c>
      <c r="D344" s="346">
        <f t="shared" ref="D344:I344" si="130">SUM(D345:D393)/2+D394</f>
        <v>52093.345676</v>
      </c>
      <c r="E344" s="346">
        <f t="shared" si="130"/>
        <v>55201</v>
      </c>
      <c r="F344" s="414">
        <f t="shared" ref="F344:F346" si="131">E344/D344*100</f>
        <v>105.965549502864</v>
      </c>
      <c r="G344" s="346">
        <f t="shared" si="127"/>
        <v>2109.474143</v>
      </c>
      <c r="H344" s="414">
        <f t="shared" si="129"/>
        <v>3.97327842616878</v>
      </c>
      <c r="I344" s="429">
        <f t="shared" si="130"/>
        <v>55880.966924</v>
      </c>
      <c r="J344" s="307">
        <f t="shared" si="128"/>
        <v>3787.621248</v>
      </c>
      <c r="K344" s="306">
        <f t="shared" ref="K344:K346" si="132">J344/D344*100</f>
        <v>7.27083507278934</v>
      </c>
      <c r="M344" s="278">
        <f t="shared" si="125"/>
        <v>0</v>
      </c>
      <c r="N344" s="415"/>
      <c r="O344" s="415"/>
    </row>
    <row r="345" customFormat="1" ht="20" customHeight="1" spans="1:17">
      <c r="A345" s="416">
        <v>20501</v>
      </c>
      <c r="B345" s="426" t="s">
        <v>357</v>
      </c>
      <c r="C345" s="282">
        <f>SUM(C346:C349)</f>
        <v>140.41343</v>
      </c>
      <c r="D345" s="346">
        <f t="shared" ref="D345:I345" si="133">SUM(D346:D349)</f>
        <v>141</v>
      </c>
      <c r="E345" s="282">
        <f t="shared" si="133"/>
        <v>240</v>
      </c>
      <c r="F345" s="414">
        <f t="shared" si="131"/>
        <v>170.212765957447</v>
      </c>
      <c r="G345" s="346">
        <f t="shared" si="127"/>
        <v>99.58657</v>
      </c>
      <c r="H345" s="414">
        <f t="shared" si="129"/>
        <v>70.9238211757949</v>
      </c>
      <c r="I345" s="346">
        <f t="shared" si="133"/>
        <v>136.747826</v>
      </c>
      <c r="J345" s="307">
        <f t="shared" si="128"/>
        <v>-4.252174</v>
      </c>
      <c r="K345" s="306">
        <f t="shared" si="132"/>
        <v>-3.01572624113475</v>
      </c>
      <c r="M345">
        <f t="shared" si="125"/>
        <v>0</v>
      </c>
      <c r="N345" s="415"/>
      <c r="O345" s="415"/>
    </row>
    <row r="346" customFormat="1" ht="20" customHeight="1" spans="1:17">
      <c r="A346" s="418">
        <v>2050101</v>
      </c>
      <c r="B346" s="419" t="s">
        <v>165</v>
      </c>
      <c r="C346" s="307">
        <v>140.41343</v>
      </c>
      <c r="D346" s="425">
        <v>141</v>
      </c>
      <c r="E346" s="307">
        <v>157</v>
      </c>
      <c r="F346" s="414">
        <f t="shared" si="131"/>
        <v>111.347517730496</v>
      </c>
      <c r="G346" s="346">
        <f t="shared" si="127"/>
        <v>16.58657</v>
      </c>
      <c r="H346" s="414">
        <f t="shared" si="129"/>
        <v>11.8126663524992</v>
      </c>
      <c r="I346" s="420">
        <v>136.747826</v>
      </c>
      <c r="J346" s="307">
        <f t="shared" si="128"/>
        <v>-4.252174</v>
      </c>
      <c r="K346" s="306">
        <f t="shared" si="132"/>
        <v>-3.01572624113475</v>
      </c>
      <c r="M346">
        <f t="shared" si="125"/>
        <v>128</v>
      </c>
      <c r="N346" s="415">
        <v>128</v>
      </c>
      <c r="O346" s="415"/>
    </row>
    <row r="347" customFormat="1" ht="20" customHeight="1" spans="1:17">
      <c r="A347" s="418">
        <v>2050102</v>
      </c>
      <c r="B347" s="419" t="s">
        <v>166</v>
      </c>
      <c r="C347" s="307"/>
      <c r="D347" s="343"/>
      <c r="E347" s="307">
        <v>55</v>
      </c>
      <c r="F347" s="414"/>
      <c r="G347" s="346">
        <f t="shared" si="127"/>
        <v>55</v>
      </c>
      <c r="H347" s="414" t="e">
        <f t="shared" si="129"/>
        <v>#DIV/0!</v>
      </c>
      <c r="I347" s="343"/>
      <c r="J347" s="307">
        <f t="shared" si="128"/>
        <v>0</v>
      </c>
      <c r="K347" s="306"/>
      <c r="M347">
        <f t="shared" si="125"/>
        <v>0</v>
      </c>
      <c r="N347" s="415"/>
      <c r="O347" s="415"/>
    </row>
    <row r="348" customFormat="1" ht="20" customHeight="1" spans="1:17">
      <c r="A348" s="418">
        <v>2050103</v>
      </c>
      <c r="B348" s="419" t="s">
        <v>167</v>
      </c>
      <c r="C348" s="307">
        <v>0</v>
      </c>
      <c r="D348" s="343"/>
      <c r="E348" s="307">
        <v>0</v>
      </c>
      <c r="F348" s="414"/>
      <c r="G348" s="346">
        <f t="shared" si="127"/>
        <v>0</v>
      </c>
      <c r="H348" s="414"/>
      <c r="I348" s="343"/>
      <c r="J348" s="307">
        <f t="shared" si="128"/>
        <v>0</v>
      </c>
      <c r="K348" s="306"/>
      <c r="M348">
        <f t="shared" si="125"/>
        <v>0</v>
      </c>
      <c r="N348" s="415"/>
      <c r="O348" s="415"/>
    </row>
    <row r="349" customFormat="1" ht="20" customHeight="1" spans="1:17">
      <c r="A349" s="418">
        <v>2050199</v>
      </c>
      <c r="B349" s="421" t="s">
        <v>358</v>
      </c>
      <c r="C349" s="307">
        <v>0</v>
      </c>
      <c r="D349" s="343"/>
      <c r="E349" s="307">
        <v>28</v>
      </c>
      <c r="F349" s="414"/>
      <c r="G349" s="346">
        <f t="shared" si="127"/>
        <v>28</v>
      </c>
      <c r="H349" s="414"/>
      <c r="I349" s="343"/>
      <c r="J349" s="307">
        <f t="shared" si="128"/>
        <v>0</v>
      </c>
      <c r="K349" s="306"/>
      <c r="M349">
        <f t="shared" si="125"/>
        <v>0</v>
      </c>
      <c r="N349" s="415"/>
      <c r="O349" s="415"/>
    </row>
    <row r="350" customFormat="1" ht="20" customHeight="1" spans="1:17">
      <c r="A350" s="416">
        <v>20502</v>
      </c>
      <c r="B350" s="417" t="s">
        <v>359</v>
      </c>
      <c r="C350" s="346">
        <f>SUM(C351:C356)</f>
        <v>49892.29868</v>
      </c>
      <c r="D350" s="346">
        <f t="shared" ref="D350:I350" si="134">SUM(D351:D356)</f>
        <v>47993.750545</v>
      </c>
      <c r="E350" s="346">
        <f t="shared" si="134"/>
        <v>51181</v>
      </c>
      <c r="F350" s="414">
        <f t="shared" ref="F350:F354" si="135">E350/D350*100</f>
        <v>106.640967665179</v>
      </c>
      <c r="G350" s="346">
        <f t="shared" si="127"/>
        <v>1288.70132</v>
      </c>
      <c r="H350" s="414">
        <f t="shared" ref="H350:H354" si="136">G350/C350*100</f>
        <v>2.58296641785437</v>
      </c>
      <c r="I350" s="346">
        <f t="shared" si="134"/>
        <v>52180.3017</v>
      </c>
      <c r="J350" s="307">
        <f t="shared" si="128"/>
        <v>4186.551155</v>
      </c>
      <c r="K350" s="306">
        <f t="shared" ref="K350:K354" si="137">J350/D350*100</f>
        <v>8.72311729643758</v>
      </c>
      <c r="M350">
        <f t="shared" si="125"/>
        <v>0</v>
      </c>
      <c r="N350" s="415"/>
      <c r="O350" s="415"/>
    </row>
    <row r="351" customFormat="1" ht="20" customHeight="1" spans="1:17">
      <c r="A351" s="418">
        <v>2050201</v>
      </c>
      <c r="B351" s="419" t="s">
        <v>360</v>
      </c>
      <c r="C351" s="307">
        <v>2261.57813</v>
      </c>
      <c r="D351" s="343">
        <f>1283.519758+825.17+681.889165</f>
        <v>2790.578923</v>
      </c>
      <c r="E351" s="307">
        <v>4456</v>
      </c>
      <c r="F351" s="414">
        <f t="shared" si="135"/>
        <v>159.680128136623</v>
      </c>
      <c r="G351" s="346">
        <f t="shared" si="127"/>
        <v>2194.42187</v>
      </c>
      <c r="H351" s="414">
        <f t="shared" si="136"/>
        <v>97.0305575956379</v>
      </c>
      <c r="I351" s="343">
        <f>3226.07+0.0017+1108.06</f>
        <v>4334.1317</v>
      </c>
      <c r="J351" s="307">
        <f t="shared" si="128"/>
        <v>1543.552777</v>
      </c>
      <c r="K351" s="306">
        <f t="shared" si="137"/>
        <v>55.3129948871186</v>
      </c>
      <c r="M351">
        <f t="shared" si="125"/>
        <v>1193</v>
      </c>
      <c r="N351" s="415">
        <v>1193</v>
      </c>
      <c r="O351" s="415"/>
      <c r="Q351">
        <v>147</v>
      </c>
    </row>
    <row r="352" customFormat="1" ht="20" customHeight="1" spans="1:17">
      <c r="A352" s="418">
        <v>2050202</v>
      </c>
      <c r="B352" s="419" t="s">
        <v>361</v>
      </c>
      <c r="C352" s="307">
        <v>26732.672474</v>
      </c>
      <c r="D352" s="343">
        <f>17867.980985+490+4195.4353+20.1657+1645.6793+393.8</f>
        <v>24613.061285</v>
      </c>
      <c r="E352" s="307">
        <v>26562</v>
      </c>
      <c r="F352" s="414">
        <f t="shared" si="135"/>
        <v>107.918310901813</v>
      </c>
      <c r="G352" s="346">
        <f t="shared" si="127"/>
        <v>-170.672473999999</v>
      </c>
      <c r="H352" s="414">
        <f t="shared" si="136"/>
        <v>-0.63844149576139</v>
      </c>
      <c r="I352" s="343">
        <f>18394.08+511.21+3269.19</f>
        <v>22174.48</v>
      </c>
      <c r="J352" s="307">
        <f t="shared" si="128"/>
        <v>-2438.581285</v>
      </c>
      <c r="K352" s="306">
        <f t="shared" si="137"/>
        <v>-9.90767160883864</v>
      </c>
      <c r="M352">
        <f t="shared" si="125"/>
        <v>18964</v>
      </c>
      <c r="N352" s="415">
        <v>18964</v>
      </c>
      <c r="O352" s="415"/>
      <c r="Q352">
        <v>1788</v>
      </c>
    </row>
    <row r="353" customFormat="1" ht="20" customHeight="1" spans="1:17">
      <c r="A353" s="418">
        <v>2050203</v>
      </c>
      <c r="B353" s="421" t="s">
        <v>362</v>
      </c>
      <c r="C353" s="307">
        <v>12348.633396</v>
      </c>
      <c r="D353" s="343">
        <f>9855.286359+153+1408.1842+1.0835+995.3714+153</f>
        <v>12565.925459</v>
      </c>
      <c r="E353" s="307">
        <v>14033</v>
      </c>
      <c r="F353" s="414">
        <f t="shared" si="135"/>
        <v>111.67502183414</v>
      </c>
      <c r="G353" s="346">
        <f t="shared" si="127"/>
        <v>1684.366604</v>
      </c>
      <c r="H353" s="414">
        <f t="shared" si="136"/>
        <v>13.6401053459535</v>
      </c>
      <c r="I353" s="343">
        <f>10845.31+63.85+392.99+686.57</f>
        <v>11988.72</v>
      </c>
      <c r="J353" s="307">
        <f t="shared" si="128"/>
        <v>-577.205459000001</v>
      </c>
      <c r="K353" s="306">
        <f t="shared" si="137"/>
        <v>-4.59341781775884</v>
      </c>
      <c r="M353">
        <f t="shared" si="125"/>
        <v>10096</v>
      </c>
      <c r="N353" s="415">
        <v>10096</v>
      </c>
      <c r="O353" s="415"/>
      <c r="Q353">
        <v>681</v>
      </c>
    </row>
    <row r="354" customFormat="1" ht="20" customHeight="1" spans="1:17">
      <c r="A354" s="418">
        <v>2050204</v>
      </c>
      <c r="B354" s="421" t="s">
        <v>363</v>
      </c>
      <c r="C354" s="307">
        <v>6148.934971</v>
      </c>
      <c r="D354" s="343">
        <f>4586.487978+754+493.8256</f>
        <v>5834.313578</v>
      </c>
      <c r="E354" s="307">
        <v>5871</v>
      </c>
      <c r="F354" s="414">
        <f t="shared" si="135"/>
        <v>100.628804425911</v>
      </c>
      <c r="G354" s="346">
        <f t="shared" si="127"/>
        <v>-277.934971</v>
      </c>
      <c r="H354" s="414">
        <f t="shared" si="136"/>
        <v>-4.52005058291906</v>
      </c>
      <c r="I354" s="343">
        <f>5187.58+1813.01+81.64+444+32</f>
        <v>7558.23</v>
      </c>
      <c r="J354" s="307">
        <f t="shared" si="128"/>
        <v>1723.916422</v>
      </c>
      <c r="K354" s="306">
        <f t="shared" si="137"/>
        <v>29.547887664121</v>
      </c>
      <c r="M354">
        <f t="shared" si="125"/>
        <v>5041</v>
      </c>
      <c r="N354" s="415">
        <v>5041</v>
      </c>
      <c r="O354" s="415"/>
      <c r="Q354">
        <v>117</v>
      </c>
    </row>
    <row r="355" customFormat="1" ht="20" customHeight="1" spans="1:17">
      <c r="A355" s="418">
        <v>2050205</v>
      </c>
      <c r="B355" s="421" t="s">
        <v>364</v>
      </c>
      <c r="C355" s="307">
        <v>0</v>
      </c>
      <c r="D355" s="343"/>
      <c r="E355" s="307">
        <v>49</v>
      </c>
      <c r="F355" s="414"/>
      <c r="G355" s="346">
        <f t="shared" si="127"/>
        <v>49</v>
      </c>
      <c r="H355" s="414"/>
      <c r="I355" s="343"/>
      <c r="J355" s="307">
        <f t="shared" si="128"/>
        <v>0</v>
      </c>
      <c r="K355" s="306"/>
      <c r="M355">
        <f t="shared" si="125"/>
        <v>0</v>
      </c>
      <c r="N355" s="415"/>
      <c r="O355" s="415"/>
    </row>
    <row r="356" customFormat="1" ht="20" customHeight="1" spans="1:17">
      <c r="A356" s="418">
        <v>2050299</v>
      </c>
      <c r="B356" s="419" t="s">
        <v>365</v>
      </c>
      <c r="C356" s="307">
        <v>2400.479709</v>
      </c>
      <c r="D356" s="343">
        <f>936.1+10+936+126.69+22.05+32.2913+126.69+0.05</f>
        <v>2189.8713</v>
      </c>
      <c r="E356" s="307">
        <v>210</v>
      </c>
      <c r="F356" s="414">
        <f t="shared" ref="F356:F359" si="138">E356/D356*100</f>
        <v>9.58960464936912</v>
      </c>
      <c r="G356" s="346">
        <f t="shared" si="127"/>
        <v>-2190.479709</v>
      </c>
      <c r="H356" s="414">
        <f t="shared" ref="H356:H359" si="139">G356/C356*100</f>
        <v>-91.2517485895566</v>
      </c>
      <c r="I356" s="343">
        <f>936.26+13+100+3152.33+1911+12.15</f>
        <v>6124.74</v>
      </c>
      <c r="J356" s="307">
        <f t="shared" si="128"/>
        <v>3934.8687</v>
      </c>
      <c r="K356" s="306">
        <f t="shared" ref="K356:K359" si="140">J356/D356*100</f>
        <v>179.684929429414</v>
      </c>
      <c r="M356">
        <f t="shared" si="125"/>
        <v>1019</v>
      </c>
      <c r="N356" s="415">
        <v>1019</v>
      </c>
      <c r="O356" s="415"/>
      <c r="P356">
        <v>9406</v>
      </c>
      <c r="Q356">
        <v>2589</v>
      </c>
    </row>
    <row r="357" customFormat="1" ht="20" customHeight="1" spans="1:17">
      <c r="A357" s="416">
        <v>20503</v>
      </c>
      <c r="B357" s="417" t="s">
        <v>366</v>
      </c>
      <c r="C357" s="371">
        <f>SUM(C358:C362)</f>
        <v>1726.101542</v>
      </c>
      <c r="D357" s="371">
        <f t="shared" ref="D357:I357" si="141">SUM(D358:D362)</f>
        <v>2045.081024</v>
      </c>
      <c r="E357" s="371">
        <f t="shared" si="141"/>
        <v>2252</v>
      </c>
      <c r="F357" s="414">
        <f t="shared" si="138"/>
        <v>110.117886458859</v>
      </c>
      <c r="G357" s="346">
        <f t="shared" si="127"/>
        <v>525.898458</v>
      </c>
      <c r="H357" s="414">
        <f t="shared" si="139"/>
        <v>30.4674114009916</v>
      </c>
      <c r="I357" s="371">
        <f t="shared" si="141"/>
        <v>1920.84</v>
      </c>
      <c r="J357" s="307">
        <f t="shared" si="128"/>
        <v>-124.241024</v>
      </c>
      <c r="K357" s="306">
        <f t="shared" si="140"/>
        <v>-6.07511499749752</v>
      </c>
      <c r="M357">
        <f t="shared" si="125"/>
        <v>0</v>
      </c>
      <c r="N357" s="415"/>
      <c r="O357" s="415"/>
    </row>
    <row r="358" customFormat="1" ht="20" customHeight="1" spans="1:17">
      <c r="A358" s="418">
        <v>2050301</v>
      </c>
      <c r="B358" s="419" t="s">
        <v>367</v>
      </c>
      <c r="C358" s="307">
        <v>0</v>
      </c>
      <c r="D358" s="343"/>
      <c r="E358" s="307">
        <v>0</v>
      </c>
      <c r="F358" s="414"/>
      <c r="G358" s="346">
        <f t="shared" si="127"/>
        <v>0</v>
      </c>
      <c r="H358" s="414"/>
      <c r="I358" s="343"/>
      <c r="J358" s="307">
        <f t="shared" si="128"/>
        <v>0</v>
      </c>
      <c r="K358" s="306"/>
      <c r="M358">
        <f t="shared" si="125"/>
        <v>0</v>
      </c>
      <c r="N358" s="415"/>
      <c r="O358" s="415"/>
    </row>
    <row r="359" customFormat="1" ht="20" customHeight="1" spans="1:17">
      <c r="A359" s="418">
        <v>2050302</v>
      </c>
      <c r="B359" s="419" t="s">
        <v>368</v>
      </c>
      <c r="C359" s="307">
        <v>1726.101542</v>
      </c>
      <c r="D359" s="343">
        <f>1375.040102+363+307.040922</f>
        <v>2045.081024</v>
      </c>
      <c r="E359" s="307">
        <v>2217</v>
      </c>
      <c r="F359" s="414">
        <f t="shared" si="138"/>
        <v>108.406462823842</v>
      </c>
      <c r="G359" s="346">
        <f t="shared" si="127"/>
        <v>490.898458</v>
      </c>
      <c r="H359" s="414">
        <f t="shared" si="139"/>
        <v>28.4397207264646</v>
      </c>
      <c r="I359" s="343">
        <f>1466.2+72.64+220+162</f>
        <v>1920.84</v>
      </c>
      <c r="J359" s="307">
        <f t="shared" si="128"/>
        <v>-124.241024</v>
      </c>
      <c r="K359" s="306">
        <f t="shared" si="140"/>
        <v>-6.07511499749752</v>
      </c>
      <c r="M359">
        <f t="shared" si="125"/>
        <v>1288</v>
      </c>
      <c r="N359" s="415">
        <v>1288</v>
      </c>
      <c r="O359" s="415"/>
      <c r="Q359">
        <v>44</v>
      </c>
    </row>
    <row r="360" customFormat="1" ht="20" customHeight="1" spans="1:17">
      <c r="A360" s="418">
        <v>2050303</v>
      </c>
      <c r="B360" s="419" t="s">
        <v>369</v>
      </c>
      <c r="C360" s="307">
        <v>0</v>
      </c>
      <c r="D360" s="343"/>
      <c r="E360" s="307">
        <v>0</v>
      </c>
      <c r="F360" s="414"/>
      <c r="G360" s="346">
        <f t="shared" si="127"/>
        <v>0</v>
      </c>
      <c r="H360" s="414"/>
      <c r="I360" s="343"/>
      <c r="J360" s="307">
        <f t="shared" si="128"/>
        <v>0</v>
      </c>
      <c r="K360" s="306"/>
      <c r="M360">
        <f t="shared" si="125"/>
        <v>0</v>
      </c>
      <c r="N360" s="415"/>
      <c r="O360" s="415"/>
    </row>
    <row r="361" customFormat="1" ht="20" customHeight="1" spans="1:17">
      <c r="A361" s="418">
        <v>2050305</v>
      </c>
      <c r="B361" s="421" t="s">
        <v>370</v>
      </c>
      <c r="C361" s="307">
        <v>0</v>
      </c>
      <c r="D361" s="343"/>
      <c r="E361" s="307">
        <v>35</v>
      </c>
      <c r="F361" s="414"/>
      <c r="G361" s="346">
        <f t="shared" si="127"/>
        <v>35</v>
      </c>
      <c r="H361" s="414"/>
      <c r="I361" s="343"/>
      <c r="J361" s="307">
        <f t="shared" si="128"/>
        <v>0</v>
      </c>
      <c r="K361" s="306"/>
      <c r="M361">
        <f t="shared" si="125"/>
        <v>0</v>
      </c>
      <c r="N361" s="415"/>
      <c r="O361" s="415"/>
    </row>
    <row r="362" customFormat="1" ht="20" customHeight="1" spans="1:17">
      <c r="A362" s="418">
        <v>2050399</v>
      </c>
      <c r="B362" s="421" t="s">
        <v>371</v>
      </c>
      <c r="C362" s="307">
        <v>0</v>
      </c>
      <c r="D362" s="343"/>
      <c r="E362" s="307">
        <v>0</v>
      </c>
      <c r="F362" s="414"/>
      <c r="G362" s="346">
        <f t="shared" si="127"/>
        <v>0</v>
      </c>
      <c r="H362" s="414"/>
      <c r="I362" s="343"/>
      <c r="J362" s="307">
        <f t="shared" si="128"/>
        <v>0</v>
      </c>
      <c r="K362" s="306"/>
      <c r="M362">
        <f t="shared" si="125"/>
        <v>0</v>
      </c>
      <c r="N362" s="415"/>
      <c r="O362" s="415"/>
    </row>
    <row r="363" customFormat="1" ht="20" customHeight="1" spans="1:17">
      <c r="A363" s="416">
        <v>20504</v>
      </c>
      <c r="B363" s="427" t="s">
        <v>372</v>
      </c>
      <c r="C363" s="346">
        <v>0</v>
      </c>
      <c r="D363" s="346"/>
      <c r="E363" s="346">
        <v>0</v>
      </c>
      <c r="F363" s="414"/>
      <c r="G363" s="346">
        <f t="shared" si="127"/>
        <v>0</v>
      </c>
      <c r="H363" s="414"/>
      <c r="I363" s="346"/>
      <c r="J363" s="307">
        <f t="shared" si="128"/>
        <v>0</v>
      </c>
      <c r="K363" s="306"/>
      <c r="M363">
        <f t="shared" si="125"/>
        <v>0</v>
      </c>
      <c r="N363" s="415"/>
      <c r="O363" s="415"/>
    </row>
    <row r="364" customFormat="1" ht="20" customHeight="1" spans="1:17">
      <c r="A364" s="418">
        <v>2050401</v>
      </c>
      <c r="B364" s="419" t="s">
        <v>373</v>
      </c>
      <c r="C364" s="343">
        <v>0</v>
      </c>
      <c r="D364" s="343"/>
      <c r="E364" s="343">
        <v>0</v>
      </c>
      <c r="F364" s="414"/>
      <c r="G364" s="346">
        <f t="shared" si="127"/>
        <v>0</v>
      </c>
      <c r="H364" s="414"/>
      <c r="I364" s="343"/>
      <c r="J364" s="307">
        <f t="shared" si="128"/>
        <v>0</v>
      </c>
      <c r="K364" s="306"/>
      <c r="M364">
        <f t="shared" si="125"/>
        <v>0</v>
      </c>
      <c r="N364" s="415"/>
      <c r="O364" s="415"/>
    </row>
    <row r="365" customFormat="1" ht="20" customHeight="1" spans="1:17">
      <c r="A365" s="418">
        <v>2050402</v>
      </c>
      <c r="B365" s="419" t="s">
        <v>374</v>
      </c>
      <c r="C365" s="343">
        <v>0</v>
      </c>
      <c r="D365" s="343"/>
      <c r="E365" s="343">
        <v>0</v>
      </c>
      <c r="F365" s="414"/>
      <c r="G365" s="346">
        <f t="shared" si="127"/>
        <v>0</v>
      </c>
      <c r="H365" s="414"/>
      <c r="I365" s="343"/>
      <c r="J365" s="307">
        <f t="shared" si="128"/>
        <v>0</v>
      </c>
      <c r="K365" s="306"/>
      <c r="M365">
        <f t="shared" ref="M365:M428" si="142">N365+O365</f>
        <v>0</v>
      </c>
      <c r="N365" s="415"/>
      <c r="O365" s="415"/>
    </row>
    <row r="366" customFormat="1" ht="20" customHeight="1" spans="1:17">
      <c r="A366" s="418">
        <v>2050403</v>
      </c>
      <c r="B366" s="419" t="s">
        <v>375</v>
      </c>
      <c r="C366" s="343">
        <v>0</v>
      </c>
      <c r="D366" s="343"/>
      <c r="E366" s="343">
        <v>0</v>
      </c>
      <c r="F366" s="414"/>
      <c r="G366" s="346">
        <f t="shared" si="127"/>
        <v>0</v>
      </c>
      <c r="H366" s="414"/>
      <c r="I366" s="343"/>
      <c r="J366" s="307">
        <f t="shared" si="128"/>
        <v>0</v>
      </c>
      <c r="K366" s="306"/>
      <c r="M366">
        <f t="shared" si="142"/>
        <v>0</v>
      </c>
      <c r="N366" s="415"/>
      <c r="O366" s="415"/>
    </row>
    <row r="367" customFormat="1" ht="20" customHeight="1" spans="1:17">
      <c r="A367" s="418">
        <v>2050404</v>
      </c>
      <c r="B367" s="421" t="s">
        <v>376</v>
      </c>
      <c r="C367" s="343">
        <v>0</v>
      </c>
      <c r="D367" s="343"/>
      <c r="E367" s="343">
        <v>0</v>
      </c>
      <c r="F367" s="414"/>
      <c r="G367" s="346">
        <f t="shared" si="127"/>
        <v>0</v>
      </c>
      <c r="H367" s="414"/>
      <c r="I367" s="343"/>
      <c r="J367" s="307">
        <f t="shared" si="128"/>
        <v>0</v>
      </c>
      <c r="K367" s="306"/>
      <c r="M367">
        <f t="shared" si="142"/>
        <v>0</v>
      </c>
      <c r="N367" s="415"/>
      <c r="O367" s="415"/>
    </row>
    <row r="368" customFormat="1" ht="20" customHeight="1" spans="1:17">
      <c r="A368" s="418">
        <v>2050499</v>
      </c>
      <c r="B368" s="421" t="s">
        <v>377</v>
      </c>
      <c r="C368" s="343">
        <v>0</v>
      </c>
      <c r="D368" s="343"/>
      <c r="E368" s="343">
        <v>0</v>
      </c>
      <c r="F368" s="414"/>
      <c r="G368" s="346">
        <f t="shared" si="127"/>
        <v>0</v>
      </c>
      <c r="H368" s="414"/>
      <c r="I368" s="343"/>
      <c r="J368" s="307">
        <f t="shared" si="128"/>
        <v>0</v>
      </c>
      <c r="K368" s="306"/>
      <c r="M368">
        <f t="shared" si="142"/>
        <v>0</v>
      </c>
      <c r="N368" s="415"/>
      <c r="O368" s="415"/>
    </row>
    <row r="369" customFormat="1" ht="20" customHeight="1" spans="1:17">
      <c r="A369" s="416">
        <v>20505</v>
      </c>
      <c r="B369" s="426" t="s">
        <v>378</v>
      </c>
      <c r="C369" s="346">
        <v>0</v>
      </c>
      <c r="D369" s="346"/>
      <c r="E369" s="346">
        <v>0</v>
      </c>
      <c r="F369" s="414"/>
      <c r="G369" s="346">
        <f t="shared" si="127"/>
        <v>0</v>
      </c>
      <c r="H369" s="414"/>
      <c r="I369" s="346"/>
      <c r="J369" s="307">
        <f t="shared" si="128"/>
        <v>0</v>
      </c>
      <c r="K369" s="306"/>
      <c r="M369">
        <f t="shared" si="142"/>
        <v>0</v>
      </c>
      <c r="N369" s="415"/>
      <c r="O369" s="415"/>
    </row>
    <row r="370" customFormat="1" ht="20" customHeight="1" spans="1:17">
      <c r="A370" s="418">
        <v>2050501</v>
      </c>
      <c r="B370" s="419" t="s">
        <v>379</v>
      </c>
      <c r="C370" s="343">
        <v>0</v>
      </c>
      <c r="D370" s="343"/>
      <c r="E370" s="343">
        <v>0</v>
      </c>
      <c r="F370" s="414"/>
      <c r="G370" s="346">
        <f t="shared" si="127"/>
        <v>0</v>
      </c>
      <c r="H370" s="414"/>
      <c r="I370" s="343"/>
      <c r="J370" s="307">
        <f t="shared" si="128"/>
        <v>0</v>
      </c>
      <c r="K370" s="306"/>
      <c r="M370">
        <f t="shared" si="142"/>
        <v>0</v>
      </c>
      <c r="N370" s="415"/>
      <c r="O370" s="415"/>
    </row>
    <row r="371" customFormat="1" ht="20" customHeight="1" spans="1:17">
      <c r="A371" s="418">
        <v>2050502</v>
      </c>
      <c r="B371" s="419" t="s">
        <v>380</v>
      </c>
      <c r="C371" s="343">
        <v>0</v>
      </c>
      <c r="D371" s="343"/>
      <c r="E371" s="343">
        <v>0</v>
      </c>
      <c r="F371" s="414"/>
      <c r="G371" s="346">
        <f t="shared" si="127"/>
        <v>0</v>
      </c>
      <c r="H371" s="414"/>
      <c r="I371" s="343"/>
      <c r="J371" s="307">
        <f t="shared" si="128"/>
        <v>0</v>
      </c>
      <c r="K371" s="306"/>
      <c r="M371">
        <f t="shared" si="142"/>
        <v>0</v>
      </c>
      <c r="N371" s="415"/>
      <c r="O371" s="415"/>
    </row>
    <row r="372" customFormat="1" ht="20" customHeight="1" spans="1:17">
      <c r="A372" s="418">
        <v>2050599</v>
      </c>
      <c r="B372" s="419" t="s">
        <v>381</v>
      </c>
      <c r="C372" s="343">
        <v>0</v>
      </c>
      <c r="D372" s="343"/>
      <c r="E372" s="343">
        <v>0</v>
      </c>
      <c r="F372" s="414"/>
      <c r="G372" s="346">
        <f t="shared" si="127"/>
        <v>0</v>
      </c>
      <c r="H372" s="414"/>
      <c r="I372" s="343"/>
      <c r="J372" s="307">
        <f t="shared" si="128"/>
        <v>0</v>
      </c>
      <c r="K372" s="306"/>
      <c r="M372">
        <f t="shared" si="142"/>
        <v>0</v>
      </c>
      <c r="N372" s="415"/>
      <c r="O372" s="415"/>
    </row>
    <row r="373" customFormat="1" ht="20" customHeight="1" spans="1:17">
      <c r="A373" s="416">
        <v>20506</v>
      </c>
      <c r="B373" s="426" t="s">
        <v>382</v>
      </c>
      <c r="C373" s="346">
        <v>0</v>
      </c>
      <c r="D373" s="346"/>
      <c r="E373" s="346">
        <v>0</v>
      </c>
      <c r="F373" s="414"/>
      <c r="G373" s="346">
        <f t="shared" si="127"/>
        <v>0</v>
      </c>
      <c r="H373" s="414"/>
      <c r="I373" s="346"/>
      <c r="J373" s="307">
        <f t="shared" si="128"/>
        <v>0</v>
      </c>
      <c r="K373" s="306"/>
      <c r="M373">
        <f t="shared" si="142"/>
        <v>0</v>
      </c>
      <c r="N373" s="415"/>
      <c r="O373" s="415"/>
    </row>
    <row r="374" customFormat="1" ht="20" customHeight="1" spans="1:17">
      <c r="A374" s="418">
        <v>2050601</v>
      </c>
      <c r="B374" s="421" t="s">
        <v>383</v>
      </c>
      <c r="C374" s="343">
        <v>0</v>
      </c>
      <c r="D374" s="343"/>
      <c r="E374" s="343">
        <v>0</v>
      </c>
      <c r="F374" s="414"/>
      <c r="G374" s="346">
        <f t="shared" si="127"/>
        <v>0</v>
      </c>
      <c r="H374" s="414"/>
      <c r="I374" s="343"/>
      <c r="J374" s="307">
        <f t="shared" si="128"/>
        <v>0</v>
      </c>
      <c r="K374" s="306"/>
      <c r="M374">
        <f t="shared" si="142"/>
        <v>0</v>
      </c>
      <c r="N374" s="415"/>
      <c r="O374" s="415"/>
    </row>
    <row r="375" customFormat="1" ht="20" customHeight="1" spans="1:17">
      <c r="A375" s="418">
        <v>2050602</v>
      </c>
      <c r="B375" s="421" t="s">
        <v>384</v>
      </c>
      <c r="C375" s="343">
        <v>0</v>
      </c>
      <c r="D375" s="343"/>
      <c r="E375" s="343">
        <v>0</v>
      </c>
      <c r="F375" s="414"/>
      <c r="G375" s="346">
        <f t="shared" si="127"/>
        <v>0</v>
      </c>
      <c r="H375" s="414"/>
      <c r="I375" s="343"/>
      <c r="J375" s="307">
        <f t="shared" si="128"/>
        <v>0</v>
      </c>
      <c r="K375" s="306"/>
      <c r="M375">
        <f t="shared" si="142"/>
        <v>0</v>
      </c>
      <c r="N375" s="415"/>
      <c r="O375" s="415"/>
    </row>
    <row r="376" customFormat="1" ht="20" customHeight="1" spans="1:17">
      <c r="A376" s="418">
        <v>2050699</v>
      </c>
      <c r="B376" s="422" t="s">
        <v>385</v>
      </c>
      <c r="C376" s="343">
        <v>0</v>
      </c>
      <c r="D376" s="343"/>
      <c r="E376" s="343">
        <v>0</v>
      </c>
      <c r="F376" s="414"/>
      <c r="G376" s="346">
        <f t="shared" si="127"/>
        <v>0</v>
      </c>
      <c r="H376" s="414"/>
      <c r="I376" s="343"/>
      <c r="J376" s="307">
        <f t="shared" si="128"/>
        <v>0</v>
      </c>
      <c r="K376" s="306"/>
      <c r="M376">
        <f t="shared" si="142"/>
        <v>0</v>
      </c>
      <c r="N376" s="415"/>
      <c r="O376" s="415"/>
    </row>
    <row r="377" customFormat="1" ht="20" customHeight="1" spans="1:17">
      <c r="A377" s="416">
        <v>20507</v>
      </c>
      <c r="B377" s="417" t="s">
        <v>386</v>
      </c>
      <c r="C377" s="371">
        <f>SUM(C378:C380)</f>
        <v>411.609703</v>
      </c>
      <c r="D377" s="371">
        <f t="shared" ref="D377:I377" si="143">SUM(D378:D380)</f>
        <v>476.134573</v>
      </c>
      <c r="E377" s="371">
        <f t="shared" si="143"/>
        <v>562</v>
      </c>
      <c r="F377" s="414">
        <f t="shared" ref="F377:F381" si="144">E377/D377*100</f>
        <v>118.033856785275</v>
      </c>
      <c r="G377" s="346">
        <f t="shared" si="127"/>
        <v>150.390297</v>
      </c>
      <c r="H377" s="414">
        <f t="shared" ref="H377:H383" si="145">G377/C377*100</f>
        <v>36.5371117113826</v>
      </c>
      <c r="I377" s="371">
        <f t="shared" si="143"/>
        <v>636</v>
      </c>
      <c r="J377" s="307">
        <f t="shared" si="128"/>
        <v>159.865427</v>
      </c>
      <c r="K377" s="306">
        <f t="shared" ref="K377:K381" si="146">J377/D377*100</f>
        <v>33.5756813441901</v>
      </c>
      <c r="M377">
        <f t="shared" si="142"/>
        <v>0</v>
      </c>
      <c r="N377" s="415"/>
      <c r="O377" s="415"/>
    </row>
    <row r="378" customFormat="1" ht="20" customHeight="1" spans="1:17">
      <c r="A378" s="418">
        <v>2050701</v>
      </c>
      <c r="B378" s="419" t="s">
        <v>387</v>
      </c>
      <c r="C378" s="343">
        <v>411.609703</v>
      </c>
      <c r="D378" s="425">
        <f>330.864513+20+70.607+54.66306</f>
        <v>476.134573</v>
      </c>
      <c r="E378" s="343">
        <v>557</v>
      </c>
      <c r="F378" s="414">
        <f t="shared" si="144"/>
        <v>116.983733504267</v>
      </c>
      <c r="G378" s="346">
        <f t="shared" si="127"/>
        <v>145.390297</v>
      </c>
      <c r="H378" s="414">
        <f t="shared" si="145"/>
        <v>35.3223687246265</v>
      </c>
      <c r="I378" s="425">
        <f>384.52+87.74+136.08</f>
        <v>608.34</v>
      </c>
      <c r="J378" s="307">
        <f t="shared" si="128"/>
        <v>132.205427</v>
      </c>
      <c r="K378" s="306">
        <f t="shared" si="146"/>
        <v>27.766399353655</v>
      </c>
      <c r="M378">
        <f t="shared" si="142"/>
        <v>336</v>
      </c>
      <c r="N378" s="415">
        <v>336</v>
      </c>
      <c r="O378" s="415"/>
      <c r="Q378">
        <v>64</v>
      </c>
    </row>
    <row r="379" customFormat="1" ht="20" customHeight="1" spans="1:17">
      <c r="A379" s="418">
        <v>2050702</v>
      </c>
      <c r="B379" s="419" t="s">
        <v>388</v>
      </c>
      <c r="C379" s="343">
        <v>0</v>
      </c>
      <c r="D379" s="343"/>
      <c r="E379" s="343">
        <v>5</v>
      </c>
      <c r="F379" s="414"/>
      <c r="G379" s="346">
        <f t="shared" si="127"/>
        <v>5</v>
      </c>
      <c r="H379" s="414"/>
      <c r="I379" s="420">
        <f>3.36+8.55+15.75</f>
        <v>27.66</v>
      </c>
      <c r="J379" s="307">
        <f t="shared" si="128"/>
        <v>27.66</v>
      </c>
      <c r="K379" s="306"/>
      <c r="M379">
        <f t="shared" si="142"/>
        <v>0</v>
      </c>
      <c r="N379" s="415"/>
      <c r="O379" s="415"/>
    </row>
    <row r="380" customFormat="1" ht="20" customHeight="1" spans="1:17">
      <c r="A380" s="418">
        <v>2050799</v>
      </c>
      <c r="B380" s="421" t="s">
        <v>389</v>
      </c>
      <c r="C380" s="343">
        <v>0</v>
      </c>
      <c r="D380" s="343"/>
      <c r="E380" s="343">
        <v>0</v>
      </c>
      <c r="F380" s="414"/>
      <c r="G380" s="346">
        <f t="shared" si="127"/>
        <v>0</v>
      </c>
      <c r="H380" s="414"/>
      <c r="I380" s="343"/>
      <c r="J380" s="307">
        <f t="shared" si="128"/>
        <v>0</v>
      </c>
      <c r="K380" s="306"/>
      <c r="M380">
        <f t="shared" si="142"/>
        <v>0</v>
      </c>
      <c r="N380" s="415"/>
      <c r="O380" s="415"/>
    </row>
    <row r="381" customFormat="1" ht="20" customHeight="1" spans="1:17">
      <c r="A381" s="416">
        <v>20508</v>
      </c>
      <c r="B381" s="426" t="s">
        <v>390</v>
      </c>
      <c r="C381" s="346">
        <f>SUM(C382:C386)</f>
        <v>328.281472</v>
      </c>
      <c r="D381" s="346">
        <f t="shared" ref="D381:I381" si="147">SUM(D382:D386)</f>
        <v>208.375507</v>
      </c>
      <c r="E381" s="346">
        <f t="shared" si="147"/>
        <v>200</v>
      </c>
      <c r="F381" s="414">
        <f t="shared" si="144"/>
        <v>95.9805703076226</v>
      </c>
      <c r="G381" s="346">
        <f t="shared" si="127"/>
        <v>-128.281472</v>
      </c>
      <c r="H381" s="414">
        <f t="shared" si="145"/>
        <v>-39.0766713754714</v>
      </c>
      <c r="I381" s="346">
        <f t="shared" si="147"/>
        <v>178.697398</v>
      </c>
      <c r="J381" s="307">
        <f t="shared" si="128"/>
        <v>-29.678109</v>
      </c>
      <c r="K381" s="306">
        <f t="shared" si="146"/>
        <v>-14.2426091373589</v>
      </c>
      <c r="M381">
        <f t="shared" si="142"/>
        <v>0</v>
      </c>
      <c r="N381" s="415"/>
      <c r="O381" s="415"/>
    </row>
    <row r="382" customFormat="1" ht="20" customHeight="1" spans="1:17">
      <c r="A382" s="418">
        <v>2050801</v>
      </c>
      <c r="B382" s="421" t="s">
        <v>391</v>
      </c>
      <c r="C382" s="343">
        <v>92.910319</v>
      </c>
      <c r="D382" s="343"/>
      <c r="E382" s="343"/>
      <c r="F382" s="414"/>
      <c r="G382" s="346">
        <f t="shared" si="127"/>
        <v>-92.910319</v>
      </c>
      <c r="H382" s="414">
        <f t="shared" si="145"/>
        <v>-100</v>
      </c>
      <c r="I382" s="343"/>
      <c r="J382" s="307">
        <f t="shared" si="128"/>
        <v>0</v>
      </c>
      <c r="K382" s="306"/>
      <c r="M382">
        <f t="shared" si="142"/>
        <v>110</v>
      </c>
      <c r="N382" s="415">
        <v>110</v>
      </c>
      <c r="O382" s="415"/>
    </row>
    <row r="383" customFormat="1" ht="20" customHeight="1" spans="1:17">
      <c r="A383" s="418">
        <v>2050802</v>
      </c>
      <c r="B383" s="419" t="s">
        <v>392</v>
      </c>
      <c r="C383" s="343">
        <v>235.371153</v>
      </c>
      <c r="D383" s="425">
        <v>208.375507</v>
      </c>
      <c r="E383" s="343">
        <v>200</v>
      </c>
      <c r="F383" s="414">
        <f>E383/D383*100</f>
        <v>95.9805703076226</v>
      </c>
      <c r="G383" s="346">
        <f t="shared" si="127"/>
        <v>-35.371153</v>
      </c>
      <c r="H383" s="414">
        <f t="shared" si="145"/>
        <v>-15.0278199130035</v>
      </c>
      <c r="I383" s="420">
        <v>178.697398</v>
      </c>
      <c r="J383" s="307">
        <f t="shared" si="128"/>
        <v>-29.678109</v>
      </c>
      <c r="K383" s="306">
        <f>J383/D383*100</f>
        <v>-14.2426091373589</v>
      </c>
      <c r="M383">
        <f t="shared" si="142"/>
        <v>222</v>
      </c>
      <c r="N383" s="415">
        <v>222</v>
      </c>
      <c r="O383" s="415"/>
    </row>
    <row r="384" customFormat="1" ht="20" customHeight="1" spans="1:17">
      <c r="A384" s="418">
        <v>2050803</v>
      </c>
      <c r="B384" s="419" t="s">
        <v>393</v>
      </c>
      <c r="C384" s="343">
        <v>0</v>
      </c>
      <c r="D384" s="343"/>
      <c r="E384" s="343">
        <v>0</v>
      </c>
      <c r="F384" s="414"/>
      <c r="G384" s="346">
        <f t="shared" si="127"/>
        <v>0</v>
      </c>
      <c r="H384" s="414"/>
      <c r="I384" s="343"/>
      <c r="J384" s="307">
        <f t="shared" si="128"/>
        <v>0</v>
      </c>
      <c r="K384" s="306"/>
      <c r="M384">
        <f t="shared" si="142"/>
        <v>0</v>
      </c>
      <c r="N384" s="415"/>
      <c r="O384" s="415"/>
    </row>
    <row r="385" customFormat="1" ht="20" customHeight="1" spans="1:15">
      <c r="A385" s="418">
        <v>2050804</v>
      </c>
      <c r="B385" s="419" t="s">
        <v>394</v>
      </c>
      <c r="C385" s="343">
        <v>0</v>
      </c>
      <c r="D385" s="343"/>
      <c r="E385" s="343">
        <v>0</v>
      </c>
      <c r="F385" s="414"/>
      <c r="G385" s="346">
        <f t="shared" si="127"/>
        <v>0</v>
      </c>
      <c r="H385" s="414"/>
      <c r="I385" s="343"/>
      <c r="J385" s="307">
        <f t="shared" si="128"/>
        <v>0</v>
      </c>
      <c r="K385" s="306"/>
      <c r="M385">
        <f t="shared" si="142"/>
        <v>0</v>
      </c>
      <c r="N385" s="415"/>
      <c r="O385" s="415"/>
    </row>
    <row r="386" customFormat="1" ht="20" customHeight="1" spans="1:15">
      <c r="A386" s="418">
        <v>2050899</v>
      </c>
      <c r="B386" s="419" t="s">
        <v>395</v>
      </c>
      <c r="C386" s="343">
        <v>0</v>
      </c>
      <c r="D386" s="343"/>
      <c r="E386" s="343">
        <v>0</v>
      </c>
      <c r="F386" s="414"/>
      <c r="G386" s="346">
        <f t="shared" si="127"/>
        <v>0</v>
      </c>
      <c r="H386" s="414"/>
      <c r="I386" s="343"/>
      <c r="J386" s="307">
        <f t="shared" si="128"/>
        <v>0</v>
      </c>
      <c r="K386" s="306"/>
      <c r="M386">
        <f t="shared" si="142"/>
        <v>0</v>
      </c>
      <c r="N386" s="415"/>
      <c r="O386" s="415"/>
    </row>
    <row r="387" customFormat="1" ht="20" customHeight="1" spans="1:15">
      <c r="A387" s="416">
        <v>20509</v>
      </c>
      <c r="B387" s="417" t="s">
        <v>396</v>
      </c>
      <c r="C387" s="371">
        <f>SUM(C388:C393)</f>
        <v>150.68374</v>
      </c>
      <c r="D387" s="371">
        <f t="shared" ref="D387:I387" si="148">SUM(D388:D393)</f>
        <v>795.4</v>
      </c>
      <c r="E387" s="371">
        <f t="shared" si="148"/>
        <v>141</v>
      </c>
      <c r="F387" s="414">
        <f>E387/D387*100</f>
        <v>17.7269298466181</v>
      </c>
      <c r="G387" s="346">
        <f t="shared" si="127"/>
        <v>-9.68374</v>
      </c>
      <c r="H387" s="414">
        <f>G387/C387*100</f>
        <v>-6.42653281634767</v>
      </c>
      <c r="I387" s="371">
        <f t="shared" si="148"/>
        <v>351</v>
      </c>
      <c r="J387" s="307">
        <f t="shared" si="128"/>
        <v>-444.4</v>
      </c>
      <c r="K387" s="306">
        <f>J387/D387*100</f>
        <v>-55.8712597435253</v>
      </c>
      <c r="M387">
        <f t="shared" si="142"/>
        <v>0</v>
      </c>
      <c r="N387" s="415"/>
      <c r="O387" s="415"/>
    </row>
    <row r="388" customFormat="1" ht="20" customHeight="1" spans="1:15">
      <c r="A388" s="418">
        <v>2050901</v>
      </c>
      <c r="B388" s="421" t="s">
        <v>397</v>
      </c>
      <c r="C388" s="343">
        <v>0</v>
      </c>
      <c r="D388" s="343"/>
      <c r="E388" s="343">
        <v>0</v>
      </c>
      <c r="F388" s="414"/>
      <c r="G388" s="346">
        <f t="shared" si="127"/>
        <v>0</v>
      </c>
      <c r="H388" s="414"/>
      <c r="I388" s="343"/>
      <c r="J388" s="307">
        <f t="shared" si="128"/>
        <v>0</v>
      </c>
      <c r="K388" s="306"/>
      <c r="M388">
        <f t="shared" si="142"/>
        <v>0</v>
      </c>
      <c r="N388" s="415"/>
      <c r="O388" s="415"/>
    </row>
    <row r="389" customFormat="1" ht="20" customHeight="1" spans="1:15">
      <c r="A389" s="418">
        <v>2050902</v>
      </c>
      <c r="B389" s="421" t="s">
        <v>398</v>
      </c>
      <c r="C389" s="343">
        <v>0</v>
      </c>
      <c r="D389" s="343"/>
      <c r="E389" s="343">
        <v>0</v>
      </c>
      <c r="F389" s="414"/>
      <c r="G389" s="346">
        <f t="shared" si="127"/>
        <v>0</v>
      </c>
      <c r="H389" s="414"/>
      <c r="I389" s="343"/>
      <c r="J389" s="307">
        <f t="shared" si="128"/>
        <v>0</v>
      </c>
      <c r="K389" s="306"/>
      <c r="M389">
        <f t="shared" si="142"/>
        <v>0</v>
      </c>
      <c r="N389" s="415"/>
      <c r="O389" s="415"/>
    </row>
    <row r="390" customFormat="1" ht="20" customHeight="1" spans="1:15">
      <c r="A390" s="418">
        <v>2050903</v>
      </c>
      <c r="B390" s="421" t="s">
        <v>399</v>
      </c>
      <c r="C390" s="343">
        <v>0</v>
      </c>
      <c r="D390" s="343"/>
      <c r="E390" s="343">
        <v>0</v>
      </c>
      <c r="F390" s="414"/>
      <c r="G390" s="346">
        <f t="shared" ref="G390:G453" si="149">E390-C390</f>
        <v>0</v>
      </c>
      <c r="H390" s="414"/>
      <c r="I390" s="343"/>
      <c r="J390" s="307">
        <f t="shared" ref="J390:J453" si="150">I390-D390</f>
        <v>0</v>
      </c>
      <c r="K390" s="306"/>
      <c r="M390">
        <f t="shared" si="142"/>
        <v>0</v>
      </c>
      <c r="N390" s="415"/>
      <c r="O390" s="415"/>
    </row>
    <row r="391" customFormat="1" ht="20" customHeight="1" spans="1:15">
      <c r="A391" s="418">
        <v>2050904</v>
      </c>
      <c r="B391" s="422" t="s">
        <v>400</v>
      </c>
      <c r="C391" s="343">
        <v>0</v>
      </c>
      <c r="D391" s="343"/>
      <c r="E391" s="343">
        <v>0</v>
      </c>
      <c r="F391" s="414"/>
      <c r="G391" s="346">
        <f t="shared" si="149"/>
        <v>0</v>
      </c>
      <c r="H391" s="414"/>
      <c r="I391" s="343"/>
      <c r="J391" s="307">
        <f t="shared" si="150"/>
        <v>0</v>
      </c>
      <c r="K391" s="306"/>
      <c r="M391">
        <f t="shared" si="142"/>
        <v>0</v>
      </c>
      <c r="N391" s="415"/>
      <c r="O391" s="415"/>
    </row>
    <row r="392" customFormat="1" ht="20" customHeight="1" spans="1:15">
      <c r="A392" s="418">
        <v>2050905</v>
      </c>
      <c r="B392" s="419" t="s">
        <v>401</v>
      </c>
      <c r="C392" s="343">
        <v>0</v>
      </c>
      <c r="D392" s="343"/>
      <c r="E392" s="343">
        <v>0</v>
      </c>
      <c r="F392" s="414"/>
      <c r="G392" s="346">
        <f t="shared" si="149"/>
        <v>0</v>
      </c>
      <c r="H392" s="414"/>
      <c r="I392" s="343"/>
      <c r="J392" s="307">
        <f t="shared" si="150"/>
        <v>0</v>
      </c>
      <c r="K392" s="306"/>
      <c r="M392">
        <f t="shared" si="142"/>
        <v>0</v>
      </c>
      <c r="N392" s="415"/>
      <c r="O392" s="415"/>
    </row>
    <row r="393" customFormat="1" ht="20" customHeight="1" spans="1:15">
      <c r="A393" s="418">
        <v>2050999</v>
      </c>
      <c r="B393" s="419" t="s">
        <v>402</v>
      </c>
      <c r="C393" s="343">
        <v>150.68374</v>
      </c>
      <c r="D393" s="425">
        <v>795.4</v>
      </c>
      <c r="E393" s="343">
        <v>141</v>
      </c>
      <c r="F393" s="414">
        <f t="shared" ref="F393:F398" si="151">E393/D393*100</f>
        <v>17.7269298466181</v>
      </c>
      <c r="G393" s="346">
        <f t="shared" si="149"/>
        <v>-9.68374</v>
      </c>
      <c r="H393" s="414">
        <f t="shared" ref="H393:H398" si="152">G393/C393*100</f>
        <v>-6.42653281634767</v>
      </c>
      <c r="I393" s="420">
        <v>351</v>
      </c>
      <c r="J393" s="307">
        <f t="shared" si="150"/>
        <v>-444.4</v>
      </c>
      <c r="K393" s="306">
        <f t="shared" ref="K393:K398" si="153">J393/D393*100</f>
        <v>-55.8712597435253</v>
      </c>
      <c r="M393">
        <f t="shared" si="142"/>
        <v>959</v>
      </c>
      <c r="N393" s="415">
        <v>959</v>
      </c>
      <c r="O393" s="415"/>
    </row>
    <row r="394" customFormat="1" ht="20" customHeight="1" spans="1:15">
      <c r="A394" s="416">
        <v>20599</v>
      </c>
      <c r="B394" s="417" t="s">
        <v>403</v>
      </c>
      <c r="C394" s="343">
        <v>442.13729</v>
      </c>
      <c r="D394" s="343">
        <v>433.604027</v>
      </c>
      <c r="E394" s="343">
        <v>625</v>
      </c>
      <c r="F394" s="414">
        <f t="shared" si="151"/>
        <v>144.140727733601</v>
      </c>
      <c r="G394" s="346">
        <f t="shared" si="149"/>
        <v>182.86271</v>
      </c>
      <c r="H394" s="414">
        <f t="shared" si="152"/>
        <v>41.3588073514451</v>
      </c>
      <c r="I394" s="343">
        <f>443.22+28.16+6</f>
        <v>477.38</v>
      </c>
      <c r="J394" s="307">
        <f t="shared" si="150"/>
        <v>43.7759730000001</v>
      </c>
      <c r="K394" s="306">
        <f t="shared" si="153"/>
        <v>10.0958409687464</v>
      </c>
      <c r="M394">
        <f t="shared" si="142"/>
        <v>434</v>
      </c>
      <c r="N394" s="415">
        <v>434</v>
      </c>
      <c r="O394" s="415"/>
    </row>
    <row r="395" s="278" customFormat="1" ht="20" customHeight="1" spans="1:15">
      <c r="A395" s="412">
        <v>206</v>
      </c>
      <c r="B395" s="413" t="s">
        <v>404</v>
      </c>
      <c r="C395" s="346">
        <f>SUM(C396:C446)/2</f>
        <v>8600.401896</v>
      </c>
      <c r="D395" s="346">
        <f t="shared" ref="D395:I395" si="154">SUM(D396:D446)/2</f>
        <v>3614.450491</v>
      </c>
      <c r="E395" s="346">
        <f t="shared" si="154"/>
        <v>2967</v>
      </c>
      <c r="F395" s="414">
        <f t="shared" si="151"/>
        <v>82.0871667045335</v>
      </c>
      <c r="G395" s="346">
        <f t="shared" si="149"/>
        <v>-5633.401896</v>
      </c>
      <c r="H395" s="414">
        <f t="shared" si="152"/>
        <v>-65.5016121818687</v>
      </c>
      <c r="I395" s="429">
        <f t="shared" si="154"/>
        <v>2278.628983</v>
      </c>
      <c r="J395" s="307">
        <f t="shared" si="150"/>
        <v>-1335.821508</v>
      </c>
      <c r="K395" s="306">
        <f t="shared" si="153"/>
        <v>-36.9578034427696</v>
      </c>
      <c r="M395" s="278">
        <f t="shared" si="142"/>
        <v>0</v>
      </c>
      <c r="N395" s="415"/>
      <c r="O395" s="415"/>
    </row>
    <row r="396" customFormat="1" ht="20" customHeight="1" spans="1:15">
      <c r="A396" s="416">
        <v>20601</v>
      </c>
      <c r="B396" s="426" t="s">
        <v>405</v>
      </c>
      <c r="C396" s="346">
        <f>SUM(C397:C400)</f>
        <v>8593.581996</v>
      </c>
      <c r="D396" s="346">
        <f t="shared" ref="D396:I396" si="155">SUM(D397:D400)</f>
        <v>558.107898</v>
      </c>
      <c r="E396" s="346">
        <f t="shared" si="155"/>
        <v>2849</v>
      </c>
      <c r="F396" s="414">
        <f t="shared" si="151"/>
        <v>510.474768447015</v>
      </c>
      <c r="G396" s="346">
        <f t="shared" si="149"/>
        <v>-5744.581996</v>
      </c>
      <c r="H396" s="414">
        <f t="shared" si="152"/>
        <v>-66.847351880437</v>
      </c>
      <c r="I396" s="346">
        <f t="shared" si="155"/>
        <v>542.428983</v>
      </c>
      <c r="J396" s="307">
        <f t="shared" si="150"/>
        <v>-15.678915</v>
      </c>
      <c r="K396" s="306">
        <f t="shared" si="153"/>
        <v>-2.80929817624619</v>
      </c>
      <c r="M396">
        <f t="shared" si="142"/>
        <v>0</v>
      </c>
      <c r="N396" s="415"/>
      <c r="O396" s="415"/>
    </row>
    <row r="397" customFormat="1" ht="20" customHeight="1" spans="1:15">
      <c r="A397" s="418">
        <v>2060101</v>
      </c>
      <c r="B397" s="419" t="s">
        <v>165</v>
      </c>
      <c r="C397" s="307">
        <v>747.253379</v>
      </c>
      <c r="D397" s="343">
        <v>440.896915</v>
      </c>
      <c r="E397" s="307">
        <v>432</v>
      </c>
      <c r="F397" s="414">
        <f t="shared" si="151"/>
        <v>97.9820872640944</v>
      </c>
      <c r="G397" s="346">
        <f t="shared" si="149"/>
        <v>-315.253379</v>
      </c>
      <c r="H397" s="414">
        <f t="shared" si="152"/>
        <v>-42.1882841696725</v>
      </c>
      <c r="I397" s="343">
        <v>421.47</v>
      </c>
      <c r="J397" s="307">
        <f t="shared" si="150"/>
        <v>-19.426915</v>
      </c>
      <c r="K397" s="306">
        <f t="shared" si="153"/>
        <v>-4.40622611296791</v>
      </c>
      <c r="M397">
        <f t="shared" si="142"/>
        <v>543</v>
      </c>
      <c r="N397" s="415">
        <v>543</v>
      </c>
      <c r="O397" s="415"/>
    </row>
    <row r="398" customFormat="1" ht="20" customHeight="1" spans="1:15">
      <c r="A398" s="418">
        <v>2060102</v>
      </c>
      <c r="B398" s="419" t="s">
        <v>166</v>
      </c>
      <c r="C398" s="307">
        <v>7846.328617</v>
      </c>
      <c r="D398" s="425">
        <v>117.210983</v>
      </c>
      <c r="E398" s="307">
        <v>2417</v>
      </c>
      <c r="F398" s="414">
        <f t="shared" si="151"/>
        <v>2062.09344733505</v>
      </c>
      <c r="G398" s="346">
        <f t="shared" si="149"/>
        <v>-5429.328617</v>
      </c>
      <c r="H398" s="414">
        <f t="shared" si="152"/>
        <v>-69.1957841943647</v>
      </c>
      <c r="I398" s="420">
        <v>120.958983</v>
      </c>
      <c r="J398" s="307">
        <f t="shared" si="150"/>
        <v>3.748</v>
      </c>
      <c r="K398" s="306">
        <f t="shared" si="153"/>
        <v>3.19765256127918</v>
      </c>
      <c r="M398">
        <f t="shared" si="142"/>
        <v>6</v>
      </c>
      <c r="N398" s="415">
        <v>6</v>
      </c>
      <c r="O398" s="415"/>
    </row>
    <row r="399" customFormat="1" ht="20" customHeight="1" spans="1:15">
      <c r="A399" s="418">
        <v>2060103</v>
      </c>
      <c r="B399" s="419" t="s">
        <v>167</v>
      </c>
      <c r="C399" s="307">
        <v>0</v>
      </c>
      <c r="D399" s="343"/>
      <c r="E399" s="307">
        <v>0</v>
      </c>
      <c r="F399" s="414"/>
      <c r="G399" s="346">
        <f t="shared" si="149"/>
        <v>0</v>
      </c>
      <c r="H399" s="414"/>
      <c r="I399" s="343"/>
      <c r="J399" s="307">
        <f t="shared" si="150"/>
        <v>0</v>
      </c>
      <c r="K399" s="306"/>
      <c r="M399">
        <f t="shared" si="142"/>
        <v>0</v>
      </c>
      <c r="N399" s="415"/>
      <c r="O399" s="415"/>
    </row>
    <row r="400" customFormat="1" ht="20" customHeight="1" spans="1:15">
      <c r="A400" s="418">
        <v>2060199</v>
      </c>
      <c r="B400" s="421" t="s">
        <v>406</v>
      </c>
      <c r="C400" s="307">
        <v>0</v>
      </c>
      <c r="D400" s="343"/>
      <c r="E400" s="307">
        <v>0</v>
      </c>
      <c r="F400" s="414"/>
      <c r="G400" s="346">
        <f t="shared" si="149"/>
        <v>0</v>
      </c>
      <c r="H400" s="414"/>
      <c r="I400" s="343"/>
      <c r="J400" s="307">
        <f t="shared" si="150"/>
        <v>0</v>
      </c>
      <c r="K400" s="306"/>
      <c r="M400">
        <f t="shared" si="142"/>
        <v>0</v>
      </c>
      <c r="N400" s="415"/>
      <c r="O400" s="415"/>
    </row>
    <row r="401" customFormat="1" ht="20" customHeight="1" spans="1:15">
      <c r="A401" s="416">
        <v>20602</v>
      </c>
      <c r="B401" s="417" t="s">
        <v>407</v>
      </c>
      <c r="C401" s="346">
        <v>0</v>
      </c>
      <c r="D401" s="346"/>
      <c r="E401" s="346">
        <v>0</v>
      </c>
      <c r="F401" s="414"/>
      <c r="G401" s="346">
        <f t="shared" si="149"/>
        <v>0</v>
      </c>
      <c r="H401" s="414"/>
      <c r="I401" s="346"/>
      <c r="J401" s="307">
        <f t="shared" si="150"/>
        <v>0</v>
      </c>
      <c r="K401" s="306"/>
      <c r="M401">
        <f t="shared" si="142"/>
        <v>0</v>
      </c>
      <c r="N401" s="415"/>
      <c r="O401" s="415"/>
    </row>
    <row r="402" customFormat="1" ht="20" customHeight="1" spans="1:15">
      <c r="A402" s="418">
        <v>2060201</v>
      </c>
      <c r="B402" s="419" t="s">
        <v>408</v>
      </c>
      <c r="C402" s="343">
        <v>0</v>
      </c>
      <c r="D402" s="343"/>
      <c r="E402" s="343">
        <v>0</v>
      </c>
      <c r="F402" s="414"/>
      <c r="G402" s="346">
        <f t="shared" si="149"/>
        <v>0</v>
      </c>
      <c r="H402" s="414"/>
      <c r="I402" s="343"/>
      <c r="J402" s="307">
        <f t="shared" si="150"/>
        <v>0</v>
      </c>
      <c r="K402" s="306"/>
      <c r="M402">
        <f t="shared" si="142"/>
        <v>0</v>
      </c>
      <c r="N402" s="415"/>
      <c r="O402" s="415"/>
    </row>
    <row r="403" customFormat="1" ht="20" customHeight="1" spans="1:15">
      <c r="A403" s="418">
        <v>2060203</v>
      </c>
      <c r="B403" s="422" t="s">
        <v>409</v>
      </c>
      <c r="C403" s="343">
        <v>0</v>
      </c>
      <c r="D403" s="343"/>
      <c r="E403" s="343">
        <v>0</v>
      </c>
      <c r="F403" s="414"/>
      <c r="G403" s="346">
        <f t="shared" si="149"/>
        <v>0</v>
      </c>
      <c r="H403" s="414"/>
      <c r="I403" s="343"/>
      <c r="J403" s="307">
        <f t="shared" si="150"/>
        <v>0</v>
      </c>
      <c r="K403" s="306"/>
      <c r="M403">
        <f t="shared" si="142"/>
        <v>0</v>
      </c>
      <c r="N403" s="415"/>
      <c r="O403" s="415"/>
    </row>
    <row r="404" customFormat="1" ht="20" customHeight="1" spans="1:15">
      <c r="A404" s="418">
        <v>2060204</v>
      </c>
      <c r="B404" s="419" t="s">
        <v>410</v>
      </c>
      <c r="C404" s="343">
        <v>0</v>
      </c>
      <c r="D404" s="343"/>
      <c r="E404" s="343">
        <v>0</v>
      </c>
      <c r="F404" s="414"/>
      <c r="G404" s="346">
        <f t="shared" si="149"/>
        <v>0</v>
      </c>
      <c r="H404" s="414"/>
      <c r="I404" s="343"/>
      <c r="J404" s="307">
        <f t="shared" si="150"/>
        <v>0</v>
      </c>
      <c r="K404" s="306"/>
      <c r="M404">
        <f t="shared" si="142"/>
        <v>0</v>
      </c>
      <c r="N404" s="415"/>
      <c r="O404" s="415"/>
    </row>
    <row r="405" customFormat="1" ht="20" customHeight="1" spans="1:15">
      <c r="A405" s="418">
        <v>2060205</v>
      </c>
      <c r="B405" s="419" t="s">
        <v>411</v>
      </c>
      <c r="C405" s="343">
        <v>0</v>
      </c>
      <c r="D405" s="343"/>
      <c r="E405" s="343">
        <v>0</v>
      </c>
      <c r="F405" s="414"/>
      <c r="G405" s="346">
        <f t="shared" si="149"/>
        <v>0</v>
      </c>
      <c r="H405" s="414"/>
      <c r="I405" s="343"/>
      <c r="J405" s="307">
        <f t="shared" si="150"/>
        <v>0</v>
      </c>
      <c r="K405" s="306"/>
      <c r="M405">
        <f t="shared" si="142"/>
        <v>0</v>
      </c>
      <c r="N405" s="415"/>
      <c r="O405" s="415"/>
    </row>
    <row r="406" customFormat="1" ht="20" customHeight="1" spans="1:15">
      <c r="A406" s="418">
        <v>2060206</v>
      </c>
      <c r="B406" s="419" t="s">
        <v>412</v>
      </c>
      <c r="C406" s="343">
        <v>0</v>
      </c>
      <c r="D406" s="343"/>
      <c r="E406" s="343">
        <v>0</v>
      </c>
      <c r="F406" s="414"/>
      <c r="G406" s="346">
        <f t="shared" si="149"/>
        <v>0</v>
      </c>
      <c r="H406" s="414"/>
      <c r="I406" s="343"/>
      <c r="J406" s="307">
        <f t="shared" si="150"/>
        <v>0</v>
      </c>
      <c r="K406" s="306"/>
      <c r="M406">
        <f t="shared" si="142"/>
        <v>0</v>
      </c>
      <c r="N406" s="415"/>
      <c r="O406" s="415"/>
    </row>
    <row r="407" customFormat="1" ht="20" customHeight="1" spans="1:15">
      <c r="A407" s="418">
        <v>2060207</v>
      </c>
      <c r="B407" s="421" t="s">
        <v>413</v>
      </c>
      <c r="C407" s="343">
        <v>0</v>
      </c>
      <c r="D407" s="343"/>
      <c r="E407" s="343">
        <v>0</v>
      </c>
      <c r="F407" s="414"/>
      <c r="G407" s="346">
        <f t="shared" si="149"/>
        <v>0</v>
      </c>
      <c r="H407" s="414"/>
      <c r="I407" s="343"/>
      <c r="J407" s="307">
        <f t="shared" si="150"/>
        <v>0</v>
      </c>
      <c r="K407" s="306"/>
      <c r="M407">
        <f t="shared" si="142"/>
        <v>0</v>
      </c>
      <c r="N407" s="415"/>
      <c r="O407" s="415"/>
    </row>
    <row r="408" customFormat="1" ht="20" customHeight="1" spans="1:15">
      <c r="A408" s="418">
        <v>2060299</v>
      </c>
      <c r="B408" s="421" t="s">
        <v>414</v>
      </c>
      <c r="C408" s="343">
        <v>0</v>
      </c>
      <c r="D408" s="343"/>
      <c r="E408" s="343">
        <v>0</v>
      </c>
      <c r="F408" s="414"/>
      <c r="G408" s="346">
        <f t="shared" si="149"/>
        <v>0</v>
      </c>
      <c r="H408" s="414"/>
      <c r="I408" s="343"/>
      <c r="J408" s="307">
        <f t="shared" si="150"/>
        <v>0</v>
      </c>
      <c r="K408" s="306"/>
      <c r="M408">
        <f t="shared" si="142"/>
        <v>0</v>
      </c>
      <c r="N408" s="415"/>
      <c r="O408" s="415"/>
    </row>
    <row r="409" customFormat="1" ht="20" customHeight="1" spans="1:15">
      <c r="A409" s="416">
        <v>20603</v>
      </c>
      <c r="B409" s="426" t="s">
        <v>415</v>
      </c>
      <c r="C409" s="371">
        <f>SUM(C410:C414)</f>
        <v>4.0599</v>
      </c>
      <c r="D409" s="371">
        <f t="shared" ref="D409:I409" si="156">SUM(D410:D414)</f>
        <v>0</v>
      </c>
      <c r="E409" s="371">
        <f t="shared" si="156"/>
        <v>1</v>
      </c>
      <c r="F409" s="414"/>
      <c r="G409" s="346">
        <f t="shared" si="149"/>
        <v>-3.0599</v>
      </c>
      <c r="H409" s="414">
        <f>G409/C409*100</f>
        <v>-75.3688514495431</v>
      </c>
      <c r="I409" s="371">
        <f t="shared" si="156"/>
        <v>0</v>
      </c>
      <c r="J409" s="307">
        <f t="shared" si="150"/>
        <v>0</v>
      </c>
      <c r="K409" s="306"/>
      <c r="M409">
        <f t="shared" si="142"/>
        <v>0</v>
      </c>
      <c r="N409" s="415"/>
      <c r="O409" s="415"/>
    </row>
    <row r="410" customFormat="1" ht="20" customHeight="1" spans="1:15">
      <c r="A410" s="418">
        <v>2060301</v>
      </c>
      <c r="B410" s="419" t="s">
        <v>408</v>
      </c>
      <c r="C410" s="307">
        <v>0</v>
      </c>
      <c r="D410" s="343"/>
      <c r="E410" s="307">
        <v>0</v>
      </c>
      <c r="F410" s="414"/>
      <c r="G410" s="346">
        <f t="shared" si="149"/>
        <v>0</v>
      </c>
      <c r="H410" s="414"/>
      <c r="I410" s="343"/>
      <c r="J410" s="307">
        <f t="shared" si="150"/>
        <v>0</v>
      </c>
      <c r="K410" s="306"/>
      <c r="M410">
        <f t="shared" si="142"/>
        <v>0</v>
      </c>
      <c r="N410" s="415"/>
      <c r="O410" s="415"/>
    </row>
    <row r="411" customFormat="1" ht="20" customHeight="1" spans="1:15">
      <c r="A411" s="418">
        <v>2060302</v>
      </c>
      <c r="B411" s="419" t="s">
        <v>416</v>
      </c>
      <c r="C411" s="307">
        <v>4.0599</v>
      </c>
      <c r="D411" s="343"/>
      <c r="E411" s="307">
        <v>1</v>
      </c>
      <c r="F411" s="414"/>
      <c r="G411" s="346">
        <f t="shared" si="149"/>
        <v>-3.0599</v>
      </c>
      <c r="H411" s="414">
        <f>G411/C411*100</f>
        <v>-75.3688514495431</v>
      </c>
      <c r="I411" s="343"/>
      <c r="J411" s="307">
        <f t="shared" si="150"/>
        <v>0</v>
      </c>
      <c r="K411" s="306"/>
      <c r="M411">
        <f t="shared" si="142"/>
        <v>0</v>
      </c>
      <c r="N411" s="415"/>
      <c r="O411" s="415"/>
    </row>
    <row r="412" customFormat="1" ht="20" customHeight="1" spans="1:15">
      <c r="A412" s="418">
        <v>2060303</v>
      </c>
      <c r="B412" s="419" t="s">
        <v>417</v>
      </c>
      <c r="C412" s="307">
        <v>0</v>
      </c>
      <c r="D412" s="343"/>
      <c r="E412" s="307">
        <v>0</v>
      </c>
      <c r="F412" s="414"/>
      <c r="G412" s="346">
        <f t="shared" si="149"/>
        <v>0</v>
      </c>
      <c r="H412" s="414"/>
      <c r="I412" s="343"/>
      <c r="J412" s="307">
        <f t="shared" si="150"/>
        <v>0</v>
      </c>
      <c r="K412" s="306"/>
      <c r="M412">
        <f t="shared" si="142"/>
        <v>0</v>
      </c>
      <c r="N412" s="415"/>
      <c r="O412" s="415"/>
    </row>
    <row r="413" customFormat="1" ht="20" customHeight="1" spans="1:15">
      <c r="A413" s="418">
        <v>2060304</v>
      </c>
      <c r="B413" s="421" t="s">
        <v>418</v>
      </c>
      <c r="C413" s="307">
        <v>0</v>
      </c>
      <c r="D413" s="343"/>
      <c r="E413" s="307">
        <v>0</v>
      </c>
      <c r="F413" s="414"/>
      <c r="G413" s="346">
        <f t="shared" si="149"/>
        <v>0</v>
      </c>
      <c r="H413" s="414"/>
      <c r="I413" s="343"/>
      <c r="J413" s="307">
        <f t="shared" si="150"/>
        <v>0</v>
      </c>
      <c r="K413" s="306"/>
      <c r="M413">
        <f t="shared" si="142"/>
        <v>0</v>
      </c>
      <c r="N413" s="415"/>
      <c r="O413" s="415"/>
    </row>
    <row r="414" customFormat="1" ht="20" customHeight="1" spans="1:15">
      <c r="A414" s="418">
        <v>2060399</v>
      </c>
      <c r="B414" s="421" t="s">
        <v>419</v>
      </c>
      <c r="C414" s="307">
        <v>0</v>
      </c>
      <c r="D414" s="343"/>
      <c r="E414" s="307">
        <v>0</v>
      </c>
      <c r="F414" s="414"/>
      <c r="G414" s="346">
        <f t="shared" si="149"/>
        <v>0</v>
      </c>
      <c r="H414" s="414"/>
      <c r="I414" s="343"/>
      <c r="J414" s="307">
        <f t="shared" si="150"/>
        <v>0</v>
      </c>
      <c r="K414" s="306"/>
      <c r="M414">
        <f t="shared" si="142"/>
        <v>0</v>
      </c>
      <c r="N414" s="415"/>
      <c r="O414" s="415"/>
    </row>
    <row r="415" customFormat="1" ht="20" customHeight="1" spans="1:15">
      <c r="A415" s="416">
        <v>20604</v>
      </c>
      <c r="B415" s="426" t="s">
        <v>420</v>
      </c>
      <c r="C415" s="346">
        <v>0</v>
      </c>
      <c r="D415" s="346"/>
      <c r="E415" s="346">
        <v>0</v>
      </c>
      <c r="F415" s="414"/>
      <c r="G415" s="346">
        <f t="shared" si="149"/>
        <v>0</v>
      </c>
      <c r="H415" s="414"/>
      <c r="I415" s="346"/>
      <c r="J415" s="307">
        <f t="shared" si="150"/>
        <v>0</v>
      </c>
      <c r="K415" s="306"/>
      <c r="M415">
        <f t="shared" si="142"/>
        <v>0</v>
      </c>
      <c r="N415" s="415"/>
      <c r="O415" s="415"/>
    </row>
    <row r="416" customFormat="1" ht="20" customHeight="1" spans="1:15">
      <c r="A416" s="418">
        <v>2060401</v>
      </c>
      <c r="B416" s="422" t="s">
        <v>408</v>
      </c>
      <c r="C416" s="307">
        <v>0</v>
      </c>
      <c r="D416" s="343"/>
      <c r="E416" s="307">
        <v>0</v>
      </c>
      <c r="F416" s="414"/>
      <c r="G416" s="346">
        <f t="shared" si="149"/>
        <v>0</v>
      </c>
      <c r="H416" s="414"/>
      <c r="I416" s="343"/>
      <c r="J416" s="307">
        <f t="shared" si="150"/>
        <v>0</v>
      </c>
      <c r="K416" s="306"/>
      <c r="M416">
        <f t="shared" si="142"/>
        <v>0</v>
      </c>
      <c r="N416" s="415"/>
      <c r="O416" s="415"/>
    </row>
    <row r="417" customFormat="1" ht="20" customHeight="1" spans="1:15">
      <c r="A417" s="418">
        <v>2060404</v>
      </c>
      <c r="B417" s="419" t="s">
        <v>421</v>
      </c>
      <c r="C417" s="307">
        <v>0</v>
      </c>
      <c r="D417" s="343"/>
      <c r="E417" s="307">
        <v>0</v>
      </c>
      <c r="F417" s="414"/>
      <c r="G417" s="346">
        <f t="shared" si="149"/>
        <v>0</v>
      </c>
      <c r="H417" s="414"/>
      <c r="I417" s="343"/>
      <c r="J417" s="307">
        <f t="shared" si="150"/>
        <v>0</v>
      </c>
      <c r="K417" s="306"/>
      <c r="M417">
        <f t="shared" si="142"/>
        <v>0</v>
      </c>
      <c r="N417" s="415"/>
      <c r="O417" s="415"/>
    </row>
    <row r="418" customFormat="1" ht="20" customHeight="1" spans="1:15">
      <c r="A418" s="418">
        <v>2060405</v>
      </c>
      <c r="B418" s="419" t="s">
        <v>422</v>
      </c>
      <c r="C418" s="307">
        <v>0</v>
      </c>
      <c r="D418" s="343"/>
      <c r="E418" s="307">
        <v>0</v>
      </c>
      <c r="F418" s="414"/>
      <c r="G418" s="346">
        <f t="shared" si="149"/>
        <v>0</v>
      </c>
      <c r="H418" s="414"/>
      <c r="I418" s="343"/>
      <c r="J418" s="307">
        <f t="shared" si="150"/>
        <v>0</v>
      </c>
      <c r="K418" s="306"/>
      <c r="M418">
        <f t="shared" si="142"/>
        <v>0</v>
      </c>
      <c r="N418" s="415"/>
      <c r="O418" s="415"/>
    </row>
    <row r="419" customFormat="1" ht="20" customHeight="1" spans="1:15">
      <c r="A419" s="418">
        <v>2060499</v>
      </c>
      <c r="B419" s="421" t="s">
        <v>423</v>
      </c>
      <c r="C419" s="307">
        <v>0</v>
      </c>
      <c r="D419" s="343"/>
      <c r="E419" s="307">
        <v>0</v>
      </c>
      <c r="F419" s="414"/>
      <c r="G419" s="346">
        <f t="shared" si="149"/>
        <v>0</v>
      </c>
      <c r="H419" s="414"/>
      <c r="I419" s="343"/>
      <c r="J419" s="307">
        <f t="shared" si="150"/>
        <v>0</v>
      </c>
      <c r="K419" s="306"/>
      <c r="M419">
        <f t="shared" si="142"/>
        <v>0</v>
      </c>
      <c r="N419" s="415"/>
      <c r="O419" s="415"/>
    </row>
    <row r="420" customFormat="1" ht="20" customHeight="1" spans="1:15">
      <c r="A420" s="416">
        <v>20605</v>
      </c>
      <c r="B420" s="426" t="s">
        <v>424</v>
      </c>
      <c r="C420" s="346">
        <v>0</v>
      </c>
      <c r="D420" s="346"/>
      <c r="E420" s="346">
        <v>0</v>
      </c>
      <c r="F420" s="414"/>
      <c r="G420" s="346">
        <f t="shared" si="149"/>
        <v>0</v>
      </c>
      <c r="H420" s="414"/>
      <c r="I420" s="346"/>
      <c r="J420" s="307">
        <f t="shared" si="150"/>
        <v>0</v>
      </c>
      <c r="K420" s="306"/>
      <c r="M420">
        <f t="shared" si="142"/>
        <v>0</v>
      </c>
      <c r="N420" s="415"/>
      <c r="O420" s="415"/>
    </row>
    <row r="421" customFormat="1" ht="20" customHeight="1" spans="1:15">
      <c r="A421" s="418">
        <v>2060501</v>
      </c>
      <c r="B421" s="421" t="s">
        <v>408</v>
      </c>
      <c r="C421" s="307">
        <v>0</v>
      </c>
      <c r="D421" s="343"/>
      <c r="E421" s="307">
        <v>0</v>
      </c>
      <c r="F421" s="414"/>
      <c r="G421" s="346">
        <f t="shared" si="149"/>
        <v>0</v>
      </c>
      <c r="H421" s="414"/>
      <c r="I421" s="343"/>
      <c r="J421" s="307">
        <f t="shared" si="150"/>
        <v>0</v>
      </c>
      <c r="K421" s="306"/>
      <c r="M421">
        <f t="shared" si="142"/>
        <v>0</v>
      </c>
      <c r="N421" s="415"/>
      <c r="O421" s="415"/>
    </row>
    <row r="422" customFormat="1" ht="20" customHeight="1" spans="1:15">
      <c r="A422" s="418">
        <v>2060502</v>
      </c>
      <c r="B422" s="419" t="s">
        <v>425</v>
      </c>
      <c r="C422" s="307">
        <v>0</v>
      </c>
      <c r="D422" s="343"/>
      <c r="E422" s="307">
        <v>0</v>
      </c>
      <c r="F422" s="414"/>
      <c r="G422" s="346">
        <f t="shared" si="149"/>
        <v>0</v>
      </c>
      <c r="H422" s="414"/>
      <c r="I422" s="343"/>
      <c r="J422" s="307">
        <f t="shared" si="150"/>
        <v>0</v>
      </c>
      <c r="K422" s="306"/>
      <c r="M422">
        <f t="shared" si="142"/>
        <v>0</v>
      </c>
      <c r="N422" s="415"/>
      <c r="O422" s="415"/>
    </row>
    <row r="423" customFormat="1" ht="20" customHeight="1" spans="1:15">
      <c r="A423" s="418">
        <v>2060503</v>
      </c>
      <c r="B423" s="419" t="s">
        <v>426</v>
      </c>
      <c r="C423" s="307">
        <v>0</v>
      </c>
      <c r="D423" s="343"/>
      <c r="E423" s="307">
        <v>0</v>
      </c>
      <c r="F423" s="414"/>
      <c r="G423" s="346">
        <f t="shared" si="149"/>
        <v>0</v>
      </c>
      <c r="H423" s="414"/>
      <c r="I423" s="343"/>
      <c r="J423" s="307">
        <f t="shared" si="150"/>
        <v>0</v>
      </c>
      <c r="K423" s="306"/>
      <c r="M423">
        <f t="shared" si="142"/>
        <v>0</v>
      </c>
      <c r="N423" s="415"/>
      <c r="O423" s="415"/>
    </row>
    <row r="424" customFormat="1" ht="20" customHeight="1" spans="1:15">
      <c r="A424" s="418">
        <v>2060599</v>
      </c>
      <c r="B424" s="419" t="s">
        <v>427</v>
      </c>
      <c r="C424" s="307">
        <v>0</v>
      </c>
      <c r="D424" s="343"/>
      <c r="E424" s="307">
        <v>0</v>
      </c>
      <c r="F424" s="414"/>
      <c r="G424" s="346">
        <f t="shared" si="149"/>
        <v>0</v>
      </c>
      <c r="H424" s="414"/>
      <c r="I424" s="343"/>
      <c r="J424" s="307">
        <f t="shared" si="150"/>
        <v>0</v>
      </c>
      <c r="K424" s="306"/>
      <c r="M424">
        <f t="shared" si="142"/>
        <v>0</v>
      </c>
      <c r="N424" s="415"/>
      <c r="O424" s="415"/>
    </row>
    <row r="425" customFormat="1" ht="20" customHeight="1" spans="1:15">
      <c r="A425" s="416">
        <v>20606</v>
      </c>
      <c r="B425" s="426" t="s">
        <v>428</v>
      </c>
      <c r="C425" s="346">
        <v>0</v>
      </c>
      <c r="D425" s="346"/>
      <c r="E425" s="346">
        <v>0</v>
      </c>
      <c r="F425" s="414"/>
      <c r="G425" s="346">
        <f t="shared" si="149"/>
        <v>0</v>
      </c>
      <c r="H425" s="414"/>
      <c r="I425" s="346"/>
      <c r="J425" s="307">
        <f t="shared" si="150"/>
        <v>0</v>
      </c>
      <c r="K425" s="306"/>
      <c r="M425">
        <f t="shared" si="142"/>
        <v>0</v>
      </c>
      <c r="N425" s="415"/>
      <c r="O425" s="415"/>
    </row>
    <row r="426" customFormat="1" ht="20" customHeight="1" spans="1:15">
      <c r="A426" s="418">
        <v>2060601</v>
      </c>
      <c r="B426" s="421" t="s">
        <v>429</v>
      </c>
      <c r="C426" s="307">
        <v>0</v>
      </c>
      <c r="D426" s="343"/>
      <c r="E426" s="307">
        <v>0</v>
      </c>
      <c r="F426" s="414"/>
      <c r="G426" s="346">
        <f t="shared" si="149"/>
        <v>0</v>
      </c>
      <c r="H426" s="414"/>
      <c r="I426" s="343"/>
      <c r="J426" s="307">
        <f t="shared" si="150"/>
        <v>0</v>
      </c>
      <c r="K426" s="306"/>
      <c r="M426">
        <f t="shared" si="142"/>
        <v>0</v>
      </c>
      <c r="N426" s="415"/>
      <c r="O426" s="415"/>
    </row>
    <row r="427" customFormat="1" ht="20" customHeight="1" spans="1:15">
      <c r="A427" s="418">
        <v>2060602</v>
      </c>
      <c r="B427" s="421" t="s">
        <v>430</v>
      </c>
      <c r="C427" s="307">
        <v>0</v>
      </c>
      <c r="D427" s="343"/>
      <c r="E427" s="307">
        <v>0</v>
      </c>
      <c r="F427" s="414"/>
      <c r="G427" s="346">
        <f t="shared" si="149"/>
        <v>0</v>
      </c>
      <c r="H427" s="414"/>
      <c r="I427" s="343"/>
      <c r="J427" s="307">
        <f t="shared" si="150"/>
        <v>0</v>
      </c>
      <c r="K427" s="306"/>
      <c r="M427">
        <f t="shared" si="142"/>
        <v>0</v>
      </c>
      <c r="N427" s="415"/>
      <c r="O427" s="415"/>
    </row>
    <row r="428" customFormat="1" ht="20" customHeight="1" spans="1:15">
      <c r="A428" s="418">
        <v>2060603</v>
      </c>
      <c r="B428" s="422" t="s">
        <v>431</v>
      </c>
      <c r="C428" s="307">
        <v>0</v>
      </c>
      <c r="D428" s="343"/>
      <c r="E428" s="307">
        <v>0</v>
      </c>
      <c r="F428" s="414"/>
      <c r="G428" s="346">
        <f t="shared" si="149"/>
        <v>0</v>
      </c>
      <c r="H428" s="414"/>
      <c r="I428" s="343"/>
      <c r="J428" s="307">
        <f t="shared" si="150"/>
        <v>0</v>
      </c>
      <c r="K428" s="306"/>
      <c r="M428">
        <f t="shared" si="142"/>
        <v>0</v>
      </c>
      <c r="N428" s="415"/>
      <c r="O428" s="415"/>
    </row>
    <row r="429" customFormat="1" ht="20" customHeight="1" spans="1:15">
      <c r="A429" s="418">
        <v>2060699</v>
      </c>
      <c r="B429" s="419" t="s">
        <v>432</v>
      </c>
      <c r="C429" s="307">
        <v>0</v>
      </c>
      <c r="D429" s="343"/>
      <c r="E429" s="307">
        <v>0</v>
      </c>
      <c r="F429" s="414"/>
      <c r="G429" s="346">
        <f t="shared" si="149"/>
        <v>0</v>
      </c>
      <c r="H429" s="414"/>
      <c r="I429" s="343"/>
      <c r="J429" s="307">
        <f t="shared" si="150"/>
        <v>0</v>
      </c>
      <c r="K429" s="306"/>
      <c r="M429">
        <f t="shared" ref="M429:M492" si="157">N429+O429</f>
        <v>0</v>
      </c>
      <c r="N429" s="415"/>
      <c r="O429" s="415"/>
    </row>
    <row r="430" customFormat="1" ht="20" customHeight="1" spans="1:15">
      <c r="A430" s="416">
        <v>20607</v>
      </c>
      <c r="B430" s="417" t="s">
        <v>433</v>
      </c>
      <c r="C430" s="346">
        <f>SUM(C431:C436)</f>
        <v>2.76</v>
      </c>
      <c r="D430" s="346">
        <f t="shared" ref="D430:I430" si="158">SUM(D431:D436)</f>
        <v>0</v>
      </c>
      <c r="E430" s="346">
        <f t="shared" si="158"/>
        <v>0</v>
      </c>
      <c r="F430" s="414"/>
      <c r="G430" s="346">
        <f t="shared" si="149"/>
        <v>-2.76</v>
      </c>
      <c r="H430" s="414">
        <f>G430/C430*100</f>
        <v>-100</v>
      </c>
      <c r="I430" s="346">
        <f t="shared" si="158"/>
        <v>0</v>
      </c>
      <c r="J430" s="307">
        <f t="shared" si="150"/>
        <v>0</v>
      </c>
      <c r="K430" s="306"/>
      <c r="M430">
        <f t="shared" si="157"/>
        <v>0</v>
      </c>
      <c r="N430" s="415"/>
      <c r="O430" s="415"/>
    </row>
    <row r="431" customFormat="1" ht="20" customHeight="1" spans="1:15">
      <c r="A431" s="418">
        <v>2060701</v>
      </c>
      <c r="B431" s="419" t="s">
        <v>408</v>
      </c>
      <c r="C431" s="307">
        <v>0</v>
      </c>
      <c r="D431" s="343"/>
      <c r="E431" s="307">
        <v>0</v>
      </c>
      <c r="F431" s="414"/>
      <c r="G431" s="346">
        <f t="shared" si="149"/>
        <v>0</v>
      </c>
      <c r="H431" s="414"/>
      <c r="I431" s="343"/>
      <c r="J431" s="307">
        <f t="shared" si="150"/>
        <v>0</v>
      </c>
      <c r="K431" s="306"/>
      <c r="M431">
        <f t="shared" si="157"/>
        <v>0</v>
      </c>
      <c r="N431" s="415"/>
      <c r="O431" s="415"/>
    </row>
    <row r="432" customFormat="1" ht="20" customHeight="1" spans="1:15">
      <c r="A432" s="418">
        <v>2060702</v>
      </c>
      <c r="B432" s="421" t="s">
        <v>434</v>
      </c>
      <c r="C432" s="307">
        <v>0</v>
      </c>
      <c r="D432" s="343"/>
      <c r="E432" s="307">
        <v>0</v>
      </c>
      <c r="F432" s="414"/>
      <c r="G432" s="346">
        <f t="shared" si="149"/>
        <v>0</v>
      </c>
      <c r="H432" s="414"/>
      <c r="I432" s="343"/>
      <c r="J432" s="307">
        <f t="shared" si="150"/>
        <v>0</v>
      </c>
      <c r="K432" s="306"/>
      <c r="M432">
        <f t="shared" si="157"/>
        <v>0</v>
      </c>
      <c r="N432" s="415"/>
      <c r="O432" s="415"/>
    </row>
    <row r="433" customFormat="1" ht="20" customHeight="1" spans="1:15">
      <c r="A433" s="418">
        <v>2060703</v>
      </c>
      <c r="B433" s="421" t="s">
        <v>435</v>
      </c>
      <c r="C433" s="307">
        <v>0</v>
      </c>
      <c r="D433" s="343"/>
      <c r="E433" s="307">
        <v>0</v>
      </c>
      <c r="F433" s="414"/>
      <c r="G433" s="346">
        <f t="shared" si="149"/>
        <v>0</v>
      </c>
      <c r="H433" s="414"/>
      <c r="I433" s="343"/>
      <c r="J433" s="307">
        <f t="shared" si="150"/>
        <v>0</v>
      </c>
      <c r="K433" s="306"/>
      <c r="M433">
        <f t="shared" si="157"/>
        <v>0</v>
      </c>
      <c r="N433" s="415"/>
      <c r="O433" s="415"/>
    </row>
    <row r="434" customFormat="1" ht="20" customHeight="1" spans="1:15">
      <c r="A434" s="418">
        <v>2060704</v>
      </c>
      <c r="B434" s="421" t="s">
        <v>436</v>
      </c>
      <c r="C434" s="307">
        <v>0</v>
      </c>
      <c r="D434" s="343"/>
      <c r="E434" s="307">
        <v>0</v>
      </c>
      <c r="F434" s="414"/>
      <c r="G434" s="346">
        <f t="shared" si="149"/>
        <v>0</v>
      </c>
      <c r="H434" s="414"/>
      <c r="I434" s="343"/>
      <c r="J434" s="307">
        <f t="shared" si="150"/>
        <v>0</v>
      </c>
      <c r="K434" s="306"/>
      <c r="M434">
        <f t="shared" si="157"/>
        <v>0</v>
      </c>
      <c r="N434" s="415"/>
      <c r="O434" s="415"/>
    </row>
    <row r="435" customFormat="1" ht="20" customHeight="1" spans="1:15">
      <c r="A435" s="418">
        <v>2060705</v>
      </c>
      <c r="B435" s="419" t="s">
        <v>437</v>
      </c>
      <c r="C435" s="307">
        <v>0</v>
      </c>
      <c r="D435" s="343"/>
      <c r="E435" s="307">
        <v>0</v>
      </c>
      <c r="F435" s="414"/>
      <c r="G435" s="346">
        <f t="shared" si="149"/>
        <v>0</v>
      </c>
      <c r="H435" s="414"/>
      <c r="I435" s="343"/>
      <c r="J435" s="307">
        <f t="shared" si="150"/>
        <v>0</v>
      </c>
      <c r="K435" s="306"/>
      <c r="M435">
        <f t="shared" si="157"/>
        <v>0</v>
      </c>
      <c r="N435" s="415"/>
      <c r="O435" s="415"/>
    </row>
    <row r="436" customFormat="1" ht="20" customHeight="1" spans="1:15">
      <c r="A436" s="418">
        <v>2060799</v>
      </c>
      <c r="B436" s="419" t="s">
        <v>438</v>
      </c>
      <c r="C436" s="307">
        <v>2.76</v>
      </c>
      <c r="D436" s="343"/>
      <c r="E436" s="307"/>
      <c r="F436" s="414"/>
      <c r="G436" s="346">
        <f t="shared" si="149"/>
        <v>-2.76</v>
      </c>
      <c r="H436" s="414">
        <f>G436/C436*100</f>
        <v>-100</v>
      </c>
      <c r="I436" s="343"/>
      <c r="J436" s="307">
        <f t="shared" si="150"/>
        <v>0</v>
      </c>
      <c r="K436" s="306"/>
      <c r="M436">
        <f t="shared" si="157"/>
        <v>2</v>
      </c>
      <c r="N436" s="415">
        <v>2</v>
      </c>
      <c r="O436" s="415"/>
    </row>
    <row r="437" customFormat="1" ht="20" customHeight="1" spans="1:15">
      <c r="A437" s="416">
        <v>20608</v>
      </c>
      <c r="B437" s="417" t="s">
        <v>439</v>
      </c>
      <c r="C437" s="346">
        <v>0</v>
      </c>
      <c r="D437" s="346"/>
      <c r="E437" s="346">
        <v>0</v>
      </c>
      <c r="F437" s="414"/>
      <c r="G437" s="346">
        <f t="shared" si="149"/>
        <v>0</v>
      </c>
      <c r="H437" s="414"/>
      <c r="I437" s="346"/>
      <c r="J437" s="307">
        <f t="shared" si="150"/>
        <v>0</v>
      </c>
      <c r="K437" s="306"/>
      <c r="M437">
        <f t="shared" si="157"/>
        <v>0</v>
      </c>
      <c r="N437" s="415"/>
      <c r="O437" s="415"/>
    </row>
    <row r="438" customFormat="1" ht="20" customHeight="1" spans="1:15">
      <c r="A438" s="418">
        <v>2060801</v>
      </c>
      <c r="B438" s="421" t="s">
        <v>440</v>
      </c>
      <c r="C438" s="343">
        <v>0</v>
      </c>
      <c r="D438" s="343"/>
      <c r="E438" s="343">
        <v>0</v>
      </c>
      <c r="F438" s="414"/>
      <c r="G438" s="346">
        <f t="shared" si="149"/>
        <v>0</v>
      </c>
      <c r="H438" s="414"/>
      <c r="I438" s="343"/>
      <c r="J438" s="307">
        <f t="shared" si="150"/>
        <v>0</v>
      </c>
      <c r="K438" s="306"/>
      <c r="M438">
        <f t="shared" si="157"/>
        <v>0</v>
      </c>
      <c r="N438" s="415"/>
      <c r="O438" s="415"/>
    </row>
    <row r="439" customFormat="1" ht="20" customHeight="1" spans="1:15">
      <c r="A439" s="418">
        <v>2060802</v>
      </c>
      <c r="B439" s="421" t="s">
        <v>441</v>
      </c>
      <c r="C439" s="343">
        <v>0</v>
      </c>
      <c r="D439" s="343"/>
      <c r="E439" s="343">
        <v>0</v>
      </c>
      <c r="F439" s="414"/>
      <c r="G439" s="346">
        <f t="shared" si="149"/>
        <v>0</v>
      </c>
      <c r="H439" s="414"/>
      <c r="I439" s="343"/>
      <c r="J439" s="307">
        <f t="shared" si="150"/>
        <v>0</v>
      </c>
      <c r="K439" s="306"/>
      <c r="M439">
        <f t="shared" si="157"/>
        <v>0</v>
      </c>
      <c r="N439" s="415"/>
      <c r="O439" s="415"/>
    </row>
    <row r="440" customFormat="1" ht="20" customHeight="1" spans="1:15">
      <c r="A440" s="418">
        <v>2060899</v>
      </c>
      <c r="B440" s="421" t="s">
        <v>442</v>
      </c>
      <c r="C440" s="343">
        <v>0</v>
      </c>
      <c r="D440" s="343"/>
      <c r="E440" s="343">
        <v>0</v>
      </c>
      <c r="F440" s="414"/>
      <c r="G440" s="346">
        <f t="shared" si="149"/>
        <v>0</v>
      </c>
      <c r="H440" s="414"/>
      <c r="I440" s="343"/>
      <c r="J440" s="307">
        <f t="shared" si="150"/>
        <v>0</v>
      </c>
      <c r="K440" s="306"/>
      <c r="M440">
        <f t="shared" si="157"/>
        <v>0</v>
      </c>
      <c r="N440" s="415"/>
      <c r="O440" s="415"/>
    </row>
    <row r="441" customFormat="1" ht="20" customHeight="1" spans="1:15">
      <c r="A441" s="416">
        <v>20609</v>
      </c>
      <c r="B441" s="427" t="s">
        <v>443</v>
      </c>
      <c r="C441" s="343">
        <v>0</v>
      </c>
      <c r="D441" s="343"/>
      <c r="E441" s="343">
        <v>0</v>
      </c>
      <c r="F441" s="414"/>
      <c r="G441" s="346">
        <f t="shared" si="149"/>
        <v>0</v>
      </c>
      <c r="H441" s="414"/>
      <c r="I441" s="343"/>
      <c r="J441" s="307">
        <f t="shared" si="150"/>
        <v>0</v>
      </c>
      <c r="K441" s="306"/>
      <c r="M441">
        <f t="shared" si="157"/>
        <v>0</v>
      </c>
      <c r="N441" s="415"/>
      <c r="O441" s="415"/>
    </row>
    <row r="442" customFormat="1" ht="20" customHeight="1" spans="1:15">
      <c r="A442" s="416">
        <v>20699</v>
      </c>
      <c r="B442" s="417" t="s">
        <v>444</v>
      </c>
      <c r="C442" s="371">
        <f>SUM(C443:C446)</f>
        <v>0</v>
      </c>
      <c r="D442" s="371">
        <f t="shared" ref="D442:I442" si="159">SUM(D443:D446)</f>
        <v>3056.342593</v>
      </c>
      <c r="E442" s="371">
        <f t="shared" si="159"/>
        <v>117</v>
      </c>
      <c r="F442" s="414">
        <f t="shared" ref="F442:F450" si="160">E442/D442*100</f>
        <v>3.82810488156555</v>
      </c>
      <c r="G442" s="346">
        <f t="shared" si="149"/>
        <v>117</v>
      </c>
      <c r="H442" s="414"/>
      <c r="I442" s="371">
        <f t="shared" si="159"/>
        <v>1736.2</v>
      </c>
      <c r="J442" s="307">
        <f t="shared" si="150"/>
        <v>-1320.142593</v>
      </c>
      <c r="K442" s="306">
        <f t="shared" ref="K442:K450" si="161">J442/D442*100</f>
        <v>-43.1935410651786</v>
      </c>
      <c r="M442">
        <f t="shared" si="157"/>
        <v>0</v>
      </c>
      <c r="N442" s="415"/>
      <c r="O442" s="415"/>
    </row>
    <row r="443" customFormat="1" ht="20" customHeight="1" spans="1:15">
      <c r="A443" s="418">
        <v>2069901</v>
      </c>
      <c r="B443" s="419" t="s">
        <v>445</v>
      </c>
      <c r="C443" s="307">
        <v>0</v>
      </c>
      <c r="D443" s="343"/>
      <c r="E443" s="307">
        <v>0</v>
      </c>
      <c r="F443" s="414"/>
      <c r="G443" s="346">
        <f t="shared" si="149"/>
        <v>0</v>
      </c>
      <c r="H443" s="414"/>
      <c r="I443" s="343"/>
      <c r="J443" s="307">
        <f t="shared" si="150"/>
        <v>0</v>
      </c>
      <c r="K443" s="306"/>
      <c r="M443">
        <f t="shared" si="157"/>
        <v>0</v>
      </c>
      <c r="N443" s="415"/>
      <c r="O443" s="415"/>
    </row>
    <row r="444" customFormat="1" ht="20" customHeight="1" spans="1:15">
      <c r="A444" s="418">
        <v>2069902</v>
      </c>
      <c r="B444" s="421" t="s">
        <v>446</v>
      </c>
      <c r="C444" s="307">
        <v>0</v>
      </c>
      <c r="D444" s="343"/>
      <c r="E444" s="307">
        <v>0</v>
      </c>
      <c r="F444" s="414"/>
      <c r="G444" s="346">
        <f t="shared" si="149"/>
        <v>0</v>
      </c>
      <c r="H444" s="414"/>
      <c r="I444" s="343"/>
      <c r="J444" s="307">
        <f t="shared" si="150"/>
        <v>0</v>
      </c>
      <c r="K444" s="306"/>
      <c r="M444">
        <f t="shared" si="157"/>
        <v>0</v>
      </c>
      <c r="N444" s="415"/>
      <c r="O444" s="415"/>
    </row>
    <row r="445" customFormat="1" ht="20" customHeight="1" spans="1:15">
      <c r="A445" s="418">
        <v>2069903</v>
      </c>
      <c r="B445" s="421" t="s">
        <v>447</v>
      </c>
      <c r="C445" s="307">
        <v>0</v>
      </c>
      <c r="D445" s="343"/>
      <c r="E445" s="307">
        <v>0</v>
      </c>
      <c r="F445" s="414"/>
      <c r="G445" s="346">
        <f t="shared" si="149"/>
        <v>0</v>
      </c>
      <c r="H445" s="414"/>
      <c r="I445" s="343"/>
      <c r="J445" s="307">
        <f t="shared" si="150"/>
        <v>0</v>
      </c>
      <c r="K445" s="306"/>
      <c r="M445">
        <f t="shared" si="157"/>
        <v>0</v>
      </c>
      <c r="N445" s="415"/>
      <c r="O445" s="415"/>
    </row>
    <row r="446" customFormat="1" ht="20" customHeight="1" spans="1:15">
      <c r="A446" s="418">
        <v>2069999</v>
      </c>
      <c r="B446" s="421" t="s">
        <v>448</v>
      </c>
      <c r="C446" s="307">
        <v>0</v>
      </c>
      <c r="D446" s="425">
        <f>9.38+3046.962593</f>
        <v>3056.342593</v>
      </c>
      <c r="E446" s="307">
        <v>117</v>
      </c>
      <c r="F446" s="414">
        <f t="shared" si="160"/>
        <v>3.82810488156555</v>
      </c>
      <c r="G446" s="346">
        <f t="shared" si="149"/>
        <v>117</v>
      </c>
      <c r="H446" s="414"/>
      <c r="I446" s="420">
        <f>5+1731.2</f>
        <v>1736.2</v>
      </c>
      <c r="J446" s="307">
        <f t="shared" si="150"/>
        <v>-1320.142593</v>
      </c>
      <c r="K446" s="306">
        <f t="shared" si="161"/>
        <v>-43.1935410651786</v>
      </c>
      <c r="M446">
        <f t="shared" si="157"/>
        <v>2100</v>
      </c>
      <c r="N446" s="415"/>
      <c r="O446" s="415">
        <v>2100</v>
      </c>
    </row>
    <row r="447" s="278" customFormat="1" ht="20" customHeight="1" spans="1:15">
      <c r="A447" s="412">
        <v>207</v>
      </c>
      <c r="B447" s="413" t="s">
        <v>449</v>
      </c>
      <c r="C447" s="346">
        <f>SUM(C448:C503)/2</f>
        <v>1631.99159</v>
      </c>
      <c r="D447" s="346">
        <f t="shared" ref="D447:I447" si="162">SUM(D448:D503)/2</f>
        <v>2351.925173</v>
      </c>
      <c r="E447" s="346">
        <f t="shared" si="162"/>
        <v>1810</v>
      </c>
      <c r="F447" s="414">
        <f t="shared" si="160"/>
        <v>76.9582306775199</v>
      </c>
      <c r="G447" s="346">
        <f t="shared" si="149"/>
        <v>178.00841</v>
      </c>
      <c r="H447" s="414">
        <f t="shared" ref="H447:H450" si="163">G447/C447*100</f>
        <v>10.9074342717661</v>
      </c>
      <c r="I447" s="429">
        <f t="shared" si="162"/>
        <v>1889.173393</v>
      </c>
      <c r="J447" s="307">
        <f t="shared" si="150"/>
        <v>-462.75178</v>
      </c>
      <c r="K447" s="306">
        <f t="shared" si="161"/>
        <v>-19.6754465368359</v>
      </c>
      <c r="M447" s="278">
        <f t="shared" si="157"/>
        <v>0</v>
      </c>
      <c r="N447" s="415"/>
      <c r="O447" s="415"/>
    </row>
    <row r="448" customFormat="1" ht="20" customHeight="1" spans="1:15">
      <c r="A448" s="416">
        <v>20701</v>
      </c>
      <c r="B448" s="427" t="s">
        <v>450</v>
      </c>
      <c r="C448" s="346">
        <f>SUM(C449:C463)</f>
        <v>809.948048</v>
      </c>
      <c r="D448" s="346">
        <f t="shared" ref="D448:I448" si="164">SUM(D449:D463)</f>
        <v>751.964232</v>
      </c>
      <c r="E448" s="346">
        <f t="shared" si="164"/>
        <v>938</v>
      </c>
      <c r="F448" s="414">
        <f t="shared" si="160"/>
        <v>124.739975664162</v>
      </c>
      <c r="G448" s="346">
        <f t="shared" si="149"/>
        <v>128.051952</v>
      </c>
      <c r="H448" s="414">
        <f t="shared" si="163"/>
        <v>15.8098969824297</v>
      </c>
      <c r="I448" s="346">
        <f t="shared" si="164"/>
        <v>790.233805</v>
      </c>
      <c r="J448" s="307">
        <f t="shared" si="150"/>
        <v>38.269573</v>
      </c>
      <c r="K448" s="306">
        <f t="shared" si="161"/>
        <v>5.08928102846254</v>
      </c>
      <c r="M448">
        <f t="shared" si="157"/>
        <v>0</v>
      </c>
      <c r="N448" s="415"/>
      <c r="O448" s="415"/>
    </row>
    <row r="449" customFormat="1" ht="20" customHeight="1" spans="1:17">
      <c r="A449" s="418">
        <v>2070101</v>
      </c>
      <c r="B449" s="239" t="s">
        <v>165</v>
      </c>
      <c r="C449" s="307">
        <v>367.608018</v>
      </c>
      <c r="D449" s="343">
        <v>359.962349</v>
      </c>
      <c r="E449" s="307">
        <v>366</v>
      </c>
      <c r="F449" s="414">
        <f t="shared" si="160"/>
        <v>101.677300700135</v>
      </c>
      <c r="G449" s="346">
        <f t="shared" si="149"/>
        <v>-1.60801800000002</v>
      </c>
      <c r="H449" s="414">
        <f t="shared" si="163"/>
        <v>-0.437427346864892</v>
      </c>
      <c r="I449" s="343">
        <v>369.84</v>
      </c>
      <c r="J449" s="307">
        <f t="shared" si="150"/>
        <v>9.87765099999996</v>
      </c>
      <c r="K449" s="306">
        <f t="shared" si="161"/>
        <v>2.74407893698903</v>
      </c>
      <c r="M449">
        <f t="shared" si="157"/>
        <v>365</v>
      </c>
      <c r="N449" s="415">
        <v>365</v>
      </c>
      <c r="O449" s="415"/>
    </row>
    <row r="450" customFormat="1" ht="20" customHeight="1" spans="1:17">
      <c r="A450" s="418">
        <v>2070102</v>
      </c>
      <c r="B450" s="239" t="s">
        <v>166</v>
      </c>
      <c r="C450" s="307">
        <v>46.8</v>
      </c>
      <c r="D450" s="425">
        <v>16.3</v>
      </c>
      <c r="E450" s="307">
        <v>126</v>
      </c>
      <c r="F450" s="414">
        <f t="shared" si="160"/>
        <v>773.006134969325</v>
      </c>
      <c r="G450" s="346">
        <f t="shared" si="149"/>
        <v>79.2</v>
      </c>
      <c r="H450" s="414">
        <f t="shared" si="163"/>
        <v>169.230769230769</v>
      </c>
      <c r="I450" s="420">
        <v>10</v>
      </c>
      <c r="J450" s="307">
        <f t="shared" si="150"/>
        <v>-6.3</v>
      </c>
      <c r="K450" s="306">
        <f t="shared" si="161"/>
        <v>-38.6503067484663</v>
      </c>
      <c r="M450">
        <f t="shared" si="157"/>
        <v>16</v>
      </c>
      <c r="N450" s="415">
        <v>16</v>
      </c>
      <c r="O450" s="415"/>
      <c r="Q450">
        <v>117</v>
      </c>
    </row>
    <row r="451" customFormat="1" ht="20" customHeight="1" spans="1:17">
      <c r="A451" s="418">
        <v>2070103</v>
      </c>
      <c r="B451" s="239" t="s">
        <v>167</v>
      </c>
      <c r="C451" s="307">
        <v>0</v>
      </c>
      <c r="D451" s="343"/>
      <c r="E451" s="307">
        <v>0</v>
      </c>
      <c r="F451" s="414"/>
      <c r="G451" s="346">
        <f t="shared" si="149"/>
        <v>0</v>
      </c>
      <c r="H451" s="414"/>
      <c r="I451" s="343"/>
      <c r="J451" s="307">
        <f t="shared" si="150"/>
        <v>0</v>
      </c>
      <c r="K451" s="306"/>
      <c r="M451">
        <f t="shared" si="157"/>
        <v>0</v>
      </c>
      <c r="N451" s="415"/>
      <c r="O451" s="415"/>
    </row>
    <row r="452" customFormat="1" ht="20" customHeight="1" spans="1:17">
      <c r="A452" s="418">
        <v>2070104</v>
      </c>
      <c r="B452" s="239" t="s">
        <v>451</v>
      </c>
      <c r="C452" s="307">
        <v>117.601901</v>
      </c>
      <c r="D452" s="425">
        <v>138.96108</v>
      </c>
      <c r="E452" s="307">
        <v>130</v>
      </c>
      <c r="F452" s="414">
        <f>E452/D452*100</f>
        <v>93.5513742409025</v>
      </c>
      <c r="G452" s="346">
        <f t="shared" si="149"/>
        <v>12.398099</v>
      </c>
      <c r="H452" s="414">
        <f>G452/C452*100</f>
        <v>10.5424307724413</v>
      </c>
      <c r="I452" s="420">
        <v>135.633972</v>
      </c>
      <c r="J452" s="307">
        <f t="shared" si="150"/>
        <v>-3.32710800000001</v>
      </c>
      <c r="K452" s="306">
        <f>J452/D452*100</f>
        <v>-2.39427327421463</v>
      </c>
      <c r="M452">
        <f t="shared" si="157"/>
        <v>136</v>
      </c>
      <c r="N452" s="415">
        <v>136</v>
      </c>
      <c r="O452" s="415"/>
    </row>
    <row r="453" customFormat="1" ht="20" customHeight="1" spans="1:17">
      <c r="A453" s="418">
        <v>2070105</v>
      </c>
      <c r="B453" s="239" t="s">
        <v>452</v>
      </c>
      <c r="C453" s="307">
        <v>0</v>
      </c>
      <c r="D453" s="343"/>
      <c r="E453" s="307">
        <v>0</v>
      </c>
      <c r="F453" s="414"/>
      <c r="G453" s="346">
        <f t="shared" si="149"/>
        <v>0</v>
      </c>
      <c r="H453" s="414"/>
      <c r="I453" s="343"/>
      <c r="J453" s="307">
        <f t="shared" si="150"/>
        <v>0</v>
      </c>
      <c r="K453" s="306"/>
      <c r="M453">
        <f t="shared" si="157"/>
        <v>0</v>
      </c>
      <c r="N453" s="415"/>
      <c r="O453" s="415"/>
    </row>
    <row r="454" customFormat="1" ht="20" customHeight="1" spans="1:17">
      <c r="A454" s="418">
        <v>2070106</v>
      </c>
      <c r="B454" s="239" t="s">
        <v>453</v>
      </c>
      <c r="C454" s="307">
        <v>0</v>
      </c>
      <c r="D454" s="343"/>
      <c r="E454" s="307">
        <v>0</v>
      </c>
      <c r="F454" s="414"/>
      <c r="G454" s="346">
        <f t="shared" ref="G454:G517" si="165">E454-C454</f>
        <v>0</v>
      </c>
      <c r="H454" s="414"/>
      <c r="I454" s="343"/>
      <c r="J454" s="307">
        <f t="shared" ref="J454:J517" si="166">I454-D454</f>
        <v>0</v>
      </c>
      <c r="K454" s="306"/>
      <c r="M454">
        <f t="shared" si="157"/>
        <v>0</v>
      </c>
      <c r="N454" s="415"/>
      <c r="O454" s="415"/>
    </row>
    <row r="455" customFormat="1" ht="20" customHeight="1" spans="1:17">
      <c r="A455" s="418">
        <v>2070107</v>
      </c>
      <c r="B455" s="239" t="s">
        <v>454</v>
      </c>
      <c r="C455" s="307">
        <v>0</v>
      </c>
      <c r="D455" s="343"/>
      <c r="E455" s="307">
        <v>0</v>
      </c>
      <c r="F455" s="414"/>
      <c r="G455" s="346">
        <f t="shared" si="165"/>
        <v>0</v>
      </c>
      <c r="H455" s="414"/>
      <c r="I455" s="343"/>
      <c r="J455" s="307">
        <f t="shared" si="166"/>
        <v>0</v>
      </c>
      <c r="K455" s="306"/>
      <c r="M455">
        <f t="shared" si="157"/>
        <v>0</v>
      </c>
      <c r="N455" s="415"/>
      <c r="O455" s="415"/>
    </row>
    <row r="456" customFormat="1" ht="20" customHeight="1" spans="1:17">
      <c r="A456" s="418">
        <v>2070108</v>
      </c>
      <c r="B456" s="239" t="s">
        <v>455</v>
      </c>
      <c r="C456" s="307">
        <v>0</v>
      </c>
      <c r="D456" s="343"/>
      <c r="E456" s="307">
        <v>0</v>
      </c>
      <c r="F456" s="414"/>
      <c r="G456" s="346">
        <f t="shared" si="165"/>
        <v>0</v>
      </c>
      <c r="H456" s="414"/>
      <c r="I456" s="343"/>
      <c r="J456" s="307">
        <f t="shared" si="166"/>
        <v>0</v>
      </c>
      <c r="K456" s="306"/>
      <c r="M456">
        <f t="shared" si="157"/>
        <v>0</v>
      </c>
      <c r="N456" s="415"/>
      <c r="O456" s="415"/>
    </row>
    <row r="457" customFormat="1" ht="20" customHeight="1" spans="1:17">
      <c r="A457" s="418">
        <v>2070109</v>
      </c>
      <c r="B457" s="239" t="s">
        <v>456</v>
      </c>
      <c r="C457" s="307">
        <v>255.779099</v>
      </c>
      <c r="D457" s="425">
        <v>236.740803</v>
      </c>
      <c r="E457" s="307">
        <v>251</v>
      </c>
      <c r="F457" s="414">
        <f>E457/D457*100</f>
        <v>106.023126059938</v>
      </c>
      <c r="G457" s="346">
        <f t="shared" si="165"/>
        <v>-4.779099</v>
      </c>
      <c r="H457" s="414">
        <f>G457/C457*100</f>
        <v>-1.86844782028105</v>
      </c>
      <c r="I457" s="420">
        <v>257.699833</v>
      </c>
      <c r="J457" s="307">
        <f t="shared" si="166"/>
        <v>20.95903</v>
      </c>
      <c r="K457" s="306">
        <f>J457/D457*100</f>
        <v>8.85315489953796</v>
      </c>
      <c r="M457">
        <f t="shared" si="157"/>
        <v>295</v>
      </c>
      <c r="N457" s="415">
        <v>295</v>
      </c>
      <c r="O457" s="415"/>
    </row>
    <row r="458" customFormat="1" ht="20" customHeight="1" spans="1:17">
      <c r="A458" s="418">
        <v>2070110</v>
      </c>
      <c r="B458" s="239" t="s">
        <v>457</v>
      </c>
      <c r="C458" s="307">
        <v>0</v>
      </c>
      <c r="D458" s="343"/>
      <c r="E458" s="307">
        <v>0</v>
      </c>
      <c r="F458" s="414"/>
      <c r="G458" s="346">
        <f t="shared" si="165"/>
        <v>0</v>
      </c>
      <c r="H458" s="414"/>
      <c r="I458" s="343"/>
      <c r="J458" s="307">
        <f t="shared" si="166"/>
        <v>0</v>
      </c>
      <c r="K458" s="306"/>
      <c r="M458">
        <f t="shared" si="157"/>
        <v>0</v>
      </c>
      <c r="N458" s="415"/>
      <c r="O458" s="415"/>
    </row>
    <row r="459" customFormat="1" ht="20" customHeight="1" spans="1:17">
      <c r="A459" s="418">
        <v>2070111</v>
      </c>
      <c r="B459" s="239" t="s">
        <v>458</v>
      </c>
      <c r="C459" s="307">
        <v>0</v>
      </c>
      <c r="D459" s="343"/>
      <c r="E459" s="307">
        <v>0</v>
      </c>
      <c r="F459" s="414"/>
      <c r="G459" s="346">
        <f t="shared" si="165"/>
        <v>0</v>
      </c>
      <c r="H459" s="414"/>
      <c r="I459" s="343"/>
      <c r="J459" s="307">
        <f t="shared" si="166"/>
        <v>0</v>
      </c>
      <c r="K459" s="306"/>
      <c r="M459">
        <f t="shared" si="157"/>
        <v>0</v>
      </c>
      <c r="N459" s="415"/>
      <c r="O459" s="415"/>
    </row>
    <row r="460" customFormat="1" ht="20" customHeight="1" spans="1:17">
      <c r="A460" s="418">
        <v>2070112</v>
      </c>
      <c r="B460" s="239" t="s">
        <v>459</v>
      </c>
      <c r="C460" s="307">
        <v>0</v>
      </c>
      <c r="D460" s="343"/>
      <c r="E460" s="307">
        <v>0</v>
      </c>
      <c r="F460" s="414"/>
      <c r="G460" s="346">
        <f t="shared" si="165"/>
        <v>0</v>
      </c>
      <c r="H460" s="414"/>
      <c r="I460" s="343"/>
      <c r="J460" s="307">
        <f t="shared" si="166"/>
        <v>0</v>
      </c>
      <c r="K460" s="306"/>
      <c r="M460">
        <f t="shared" si="157"/>
        <v>0</v>
      </c>
      <c r="N460" s="415"/>
      <c r="O460" s="415"/>
    </row>
    <row r="461" customFormat="1" ht="20" customHeight="1" spans="1:17">
      <c r="A461" s="418">
        <v>2070113</v>
      </c>
      <c r="B461" s="239" t="s">
        <v>460</v>
      </c>
      <c r="C461" s="307">
        <v>0</v>
      </c>
      <c r="D461" s="343"/>
      <c r="E461" s="307">
        <v>0</v>
      </c>
      <c r="F461" s="414"/>
      <c r="G461" s="346">
        <f t="shared" si="165"/>
        <v>0</v>
      </c>
      <c r="H461" s="414"/>
      <c r="I461" s="343"/>
      <c r="J461" s="307">
        <f t="shared" si="166"/>
        <v>0</v>
      </c>
      <c r="K461" s="306"/>
      <c r="M461">
        <f t="shared" si="157"/>
        <v>0</v>
      </c>
      <c r="N461" s="415"/>
      <c r="O461" s="415"/>
    </row>
    <row r="462" customFormat="1" ht="20" customHeight="1" spans="1:17">
      <c r="A462" s="418">
        <v>2070114</v>
      </c>
      <c r="B462" s="239" t="s">
        <v>461</v>
      </c>
      <c r="C462" s="307">
        <v>0</v>
      </c>
      <c r="D462" s="343"/>
      <c r="E462" s="307">
        <v>0</v>
      </c>
      <c r="F462" s="414"/>
      <c r="G462" s="346">
        <f t="shared" si="165"/>
        <v>0</v>
      </c>
      <c r="H462" s="414"/>
      <c r="I462" s="343"/>
      <c r="J462" s="307">
        <f t="shared" si="166"/>
        <v>0</v>
      </c>
      <c r="K462" s="306"/>
      <c r="M462">
        <f t="shared" si="157"/>
        <v>0</v>
      </c>
      <c r="N462" s="415"/>
      <c r="O462" s="415"/>
    </row>
    <row r="463" customFormat="1" ht="20" customHeight="1" spans="1:17">
      <c r="A463" s="418">
        <v>2070199</v>
      </c>
      <c r="B463" s="239" t="s">
        <v>462</v>
      </c>
      <c r="C463" s="307">
        <v>22.15903</v>
      </c>
      <c r="D463" s="343"/>
      <c r="E463" s="307">
        <v>65</v>
      </c>
      <c r="F463" s="414"/>
      <c r="G463" s="346">
        <f t="shared" si="165"/>
        <v>42.84097</v>
      </c>
      <c r="H463" s="414">
        <f>G463/C463*100</f>
        <v>193.334139626148</v>
      </c>
      <c r="I463" s="343">
        <f>1.56+3+12.5</f>
        <v>17.06</v>
      </c>
      <c r="J463" s="307">
        <f t="shared" si="166"/>
        <v>17.06</v>
      </c>
      <c r="K463" s="306"/>
      <c r="M463">
        <f t="shared" si="157"/>
        <v>0</v>
      </c>
      <c r="N463" s="415"/>
      <c r="O463" s="415"/>
      <c r="P463">
        <v>79</v>
      </c>
      <c r="Q463">
        <v>50</v>
      </c>
    </row>
    <row r="464" customFormat="1" ht="20" customHeight="1" spans="1:17">
      <c r="A464" s="416">
        <v>20702</v>
      </c>
      <c r="B464" s="427" t="s">
        <v>463</v>
      </c>
      <c r="C464" s="371">
        <f>SUM(C465:C471)</f>
        <v>70.000682</v>
      </c>
      <c r="D464" s="371">
        <f t="shared" ref="D464:I464" si="167">SUM(D465:D471)</f>
        <v>69.220654</v>
      </c>
      <c r="E464" s="371">
        <f t="shared" si="167"/>
        <v>75</v>
      </c>
      <c r="F464" s="414">
        <f>E464/D464*100</f>
        <v>108.349164109313</v>
      </c>
      <c r="G464" s="346">
        <f t="shared" si="165"/>
        <v>4.999318</v>
      </c>
      <c r="H464" s="414">
        <f>G464/C464*100</f>
        <v>7.14181327547638</v>
      </c>
      <c r="I464" s="371">
        <f t="shared" si="167"/>
        <v>78.749208</v>
      </c>
      <c r="J464" s="307">
        <f t="shared" si="166"/>
        <v>9.528554</v>
      </c>
      <c r="K464" s="306">
        <f>J464/D464*100</f>
        <v>13.7654781476061</v>
      </c>
      <c r="M464">
        <f t="shared" si="157"/>
        <v>0</v>
      </c>
      <c r="N464" s="415"/>
      <c r="O464" s="415"/>
    </row>
    <row r="465" customFormat="1" ht="20" customHeight="1" spans="1:17">
      <c r="A465" s="418">
        <v>2070201</v>
      </c>
      <c r="B465" s="239" t="s">
        <v>165</v>
      </c>
      <c r="C465" s="307">
        <v>0</v>
      </c>
      <c r="D465" s="343"/>
      <c r="E465" s="307">
        <v>0</v>
      </c>
      <c r="F465" s="414"/>
      <c r="G465" s="346">
        <f t="shared" si="165"/>
        <v>0</v>
      </c>
      <c r="H465" s="414"/>
      <c r="I465" s="343"/>
      <c r="J465" s="307">
        <f t="shared" si="166"/>
        <v>0</v>
      </c>
      <c r="K465" s="306"/>
      <c r="M465">
        <f t="shared" si="157"/>
        <v>0</v>
      </c>
      <c r="N465" s="415"/>
      <c r="O465" s="415"/>
    </row>
    <row r="466" customFormat="1" ht="20" customHeight="1" spans="1:17">
      <c r="A466" s="418">
        <v>2070202</v>
      </c>
      <c r="B466" s="239" t="s">
        <v>166</v>
      </c>
      <c r="C466" s="307">
        <v>0</v>
      </c>
      <c r="D466" s="343"/>
      <c r="E466" s="307">
        <v>0</v>
      </c>
      <c r="F466" s="414"/>
      <c r="G466" s="346">
        <f t="shared" si="165"/>
        <v>0</v>
      </c>
      <c r="H466" s="414"/>
      <c r="I466" s="343"/>
      <c r="J466" s="307">
        <f t="shared" si="166"/>
        <v>0</v>
      </c>
      <c r="K466" s="306"/>
      <c r="M466">
        <f t="shared" si="157"/>
        <v>0</v>
      </c>
      <c r="N466" s="415"/>
      <c r="O466" s="415"/>
    </row>
    <row r="467" customFormat="1" ht="20" customHeight="1" spans="1:17">
      <c r="A467" s="418">
        <v>2070203</v>
      </c>
      <c r="B467" s="239" t="s">
        <v>167</v>
      </c>
      <c r="C467" s="307">
        <v>0</v>
      </c>
      <c r="D467" s="343"/>
      <c r="E467" s="307">
        <v>0</v>
      </c>
      <c r="F467" s="414"/>
      <c r="G467" s="346">
        <f t="shared" si="165"/>
        <v>0</v>
      </c>
      <c r="H467" s="414"/>
      <c r="I467" s="343"/>
      <c r="J467" s="307">
        <f t="shared" si="166"/>
        <v>0</v>
      </c>
      <c r="K467" s="306"/>
      <c r="M467">
        <f t="shared" si="157"/>
        <v>0</v>
      </c>
      <c r="N467" s="415"/>
      <c r="O467" s="415"/>
    </row>
    <row r="468" customFormat="1" ht="20" customHeight="1" spans="1:17">
      <c r="A468" s="418">
        <v>2070204</v>
      </c>
      <c r="B468" s="422" t="s">
        <v>464</v>
      </c>
      <c r="C468" s="307">
        <v>0</v>
      </c>
      <c r="D468" s="343"/>
      <c r="E468" s="307">
        <v>0</v>
      </c>
      <c r="F468" s="414"/>
      <c r="G468" s="346">
        <f t="shared" si="165"/>
        <v>0</v>
      </c>
      <c r="H468" s="414"/>
      <c r="I468" s="343"/>
      <c r="J468" s="307">
        <f t="shared" si="166"/>
        <v>0</v>
      </c>
      <c r="K468" s="306"/>
      <c r="M468">
        <f t="shared" si="157"/>
        <v>0</v>
      </c>
      <c r="N468" s="415"/>
      <c r="O468" s="415"/>
    </row>
    <row r="469" customFormat="1" ht="20" customHeight="1" spans="1:17">
      <c r="A469" s="418">
        <v>2070205</v>
      </c>
      <c r="B469" s="422" t="s">
        <v>465</v>
      </c>
      <c r="C469" s="307">
        <v>0</v>
      </c>
      <c r="D469" s="343"/>
      <c r="E469" s="307">
        <v>0</v>
      </c>
      <c r="F469" s="414"/>
      <c r="G469" s="346">
        <f t="shared" si="165"/>
        <v>0</v>
      </c>
      <c r="H469" s="414"/>
      <c r="I469" s="343"/>
      <c r="J469" s="307">
        <f t="shared" si="166"/>
        <v>0</v>
      </c>
      <c r="K469" s="306"/>
      <c r="M469">
        <f t="shared" si="157"/>
        <v>0</v>
      </c>
      <c r="N469" s="415"/>
      <c r="O469" s="415"/>
    </row>
    <row r="470" customFormat="1" ht="20" customHeight="1" spans="1:17">
      <c r="A470" s="418">
        <v>2070206</v>
      </c>
      <c r="B470" s="422" t="s">
        <v>466</v>
      </c>
      <c r="C470" s="307">
        <v>0</v>
      </c>
      <c r="D470" s="343"/>
      <c r="E470" s="307">
        <v>0</v>
      </c>
      <c r="F470" s="414"/>
      <c r="G470" s="346">
        <f t="shared" si="165"/>
        <v>0</v>
      </c>
      <c r="H470" s="414"/>
      <c r="I470" s="343"/>
      <c r="J470" s="307">
        <f t="shared" si="166"/>
        <v>0</v>
      </c>
      <c r="K470" s="306"/>
      <c r="M470">
        <f t="shared" si="157"/>
        <v>0</v>
      </c>
      <c r="N470" s="415"/>
      <c r="O470" s="415"/>
    </row>
    <row r="471" customFormat="1" ht="20" customHeight="1" spans="1:17">
      <c r="A471" s="418">
        <v>2070299</v>
      </c>
      <c r="B471" s="422" t="s">
        <v>467</v>
      </c>
      <c r="C471" s="307">
        <v>70.000682</v>
      </c>
      <c r="D471" s="425">
        <v>69.220654</v>
      </c>
      <c r="E471" s="307">
        <v>75</v>
      </c>
      <c r="F471" s="414">
        <f>E471/D471*100</f>
        <v>108.349164109313</v>
      </c>
      <c r="G471" s="346">
        <f t="shared" si="165"/>
        <v>4.999318</v>
      </c>
      <c r="H471" s="414">
        <f>G471/C471*100</f>
        <v>7.14181327547638</v>
      </c>
      <c r="I471" s="420">
        <v>78.749208</v>
      </c>
      <c r="J471" s="307">
        <f t="shared" si="166"/>
        <v>9.528554</v>
      </c>
      <c r="K471" s="306">
        <f>J471/D471*100</f>
        <v>13.7654781476061</v>
      </c>
      <c r="M471">
        <f t="shared" si="157"/>
        <v>72</v>
      </c>
      <c r="N471" s="415">
        <v>72</v>
      </c>
      <c r="O471" s="415"/>
    </row>
    <row r="472" customFormat="1" ht="20" customHeight="1" spans="1:17">
      <c r="A472" s="416">
        <v>20703</v>
      </c>
      <c r="B472" s="427" t="s">
        <v>468</v>
      </c>
      <c r="C472" s="346">
        <f>SUM(C473:C482)</f>
        <v>177.576791</v>
      </c>
      <c r="D472" s="346">
        <f t="shared" ref="D472:I472" si="168">SUM(D473:D482)</f>
        <v>241.653476</v>
      </c>
      <c r="E472" s="346">
        <f t="shared" si="168"/>
        <v>180</v>
      </c>
      <c r="F472" s="414">
        <f>E472/D472*100</f>
        <v>74.4868242656687</v>
      </c>
      <c r="G472" s="346">
        <f t="shared" si="165"/>
        <v>2.42320900000001</v>
      </c>
      <c r="H472" s="414">
        <f>G472/C472*100</f>
        <v>1.36459780940631</v>
      </c>
      <c r="I472" s="346">
        <f t="shared" si="168"/>
        <v>217.660283</v>
      </c>
      <c r="J472" s="307">
        <f t="shared" si="166"/>
        <v>-23.993193</v>
      </c>
      <c r="K472" s="306">
        <f>J472/D472*100</f>
        <v>-9.92875972535153</v>
      </c>
      <c r="M472">
        <f t="shared" si="157"/>
        <v>0</v>
      </c>
      <c r="N472" s="415"/>
      <c r="O472" s="415"/>
    </row>
    <row r="473" customFormat="1" ht="20" customHeight="1" spans="1:17">
      <c r="A473" s="418">
        <v>2070301</v>
      </c>
      <c r="B473" s="239" t="s">
        <v>165</v>
      </c>
      <c r="C473" s="307">
        <v>0</v>
      </c>
      <c r="D473" s="343"/>
      <c r="E473" s="307">
        <v>0</v>
      </c>
      <c r="F473" s="414"/>
      <c r="G473" s="346">
        <f t="shared" si="165"/>
        <v>0</v>
      </c>
      <c r="H473" s="414"/>
      <c r="I473" s="343"/>
      <c r="J473" s="307">
        <f t="shared" si="166"/>
        <v>0</v>
      </c>
      <c r="K473" s="306"/>
      <c r="M473">
        <f t="shared" si="157"/>
        <v>0</v>
      </c>
      <c r="N473" s="415"/>
      <c r="O473" s="415"/>
    </row>
    <row r="474" customFormat="1" ht="20" customHeight="1" spans="1:17">
      <c r="A474" s="418">
        <v>2070302</v>
      </c>
      <c r="B474" s="239" t="s">
        <v>166</v>
      </c>
      <c r="C474" s="307">
        <v>0</v>
      </c>
      <c r="D474" s="343"/>
      <c r="E474" s="307">
        <v>0</v>
      </c>
      <c r="F474" s="414"/>
      <c r="G474" s="346">
        <f t="shared" si="165"/>
        <v>0</v>
      </c>
      <c r="H474" s="414"/>
      <c r="I474" s="343"/>
      <c r="J474" s="307">
        <f t="shared" si="166"/>
        <v>0</v>
      </c>
      <c r="K474" s="306"/>
      <c r="M474">
        <f t="shared" si="157"/>
        <v>0</v>
      </c>
      <c r="N474" s="415"/>
      <c r="O474" s="415"/>
    </row>
    <row r="475" customFormat="1" ht="20" customHeight="1" spans="1:17">
      <c r="A475" s="418">
        <v>2070303</v>
      </c>
      <c r="B475" s="239" t="s">
        <v>167</v>
      </c>
      <c r="C475" s="307">
        <v>0</v>
      </c>
      <c r="D475" s="343"/>
      <c r="E475" s="307">
        <v>0</v>
      </c>
      <c r="F475" s="414"/>
      <c r="G475" s="346">
        <f t="shared" si="165"/>
        <v>0</v>
      </c>
      <c r="H475" s="414"/>
      <c r="I475" s="343"/>
      <c r="J475" s="307">
        <f t="shared" si="166"/>
        <v>0</v>
      </c>
      <c r="K475" s="306"/>
      <c r="M475">
        <f t="shared" si="157"/>
        <v>0</v>
      </c>
      <c r="N475" s="415"/>
      <c r="O475" s="415"/>
    </row>
    <row r="476" customFormat="1" ht="20" customHeight="1" spans="1:17">
      <c r="A476" s="418">
        <v>2070304</v>
      </c>
      <c r="B476" s="422" t="s">
        <v>469</v>
      </c>
      <c r="C476" s="307">
        <v>0</v>
      </c>
      <c r="D476" s="343"/>
      <c r="E476" s="307">
        <v>0</v>
      </c>
      <c r="F476" s="414"/>
      <c r="G476" s="346">
        <f t="shared" si="165"/>
        <v>0</v>
      </c>
      <c r="H476" s="414"/>
      <c r="I476" s="343"/>
      <c r="J476" s="307">
        <f t="shared" si="166"/>
        <v>0</v>
      </c>
      <c r="K476" s="306"/>
      <c r="M476">
        <f t="shared" si="157"/>
        <v>0</v>
      </c>
      <c r="N476" s="415"/>
      <c r="O476" s="415"/>
    </row>
    <row r="477" customFormat="1" ht="20" customHeight="1" spans="1:17">
      <c r="A477" s="418">
        <v>2070305</v>
      </c>
      <c r="B477" s="422" t="s">
        <v>470</v>
      </c>
      <c r="C477" s="307">
        <v>0</v>
      </c>
      <c r="D477" s="343"/>
      <c r="E477" s="307">
        <v>0</v>
      </c>
      <c r="F477" s="414"/>
      <c r="G477" s="346">
        <f t="shared" si="165"/>
        <v>0</v>
      </c>
      <c r="H477" s="414"/>
      <c r="I477" s="343"/>
      <c r="J477" s="307">
        <f t="shared" si="166"/>
        <v>0</v>
      </c>
      <c r="K477" s="306"/>
      <c r="M477">
        <f t="shared" si="157"/>
        <v>0</v>
      </c>
      <c r="N477" s="415"/>
      <c r="O477" s="415"/>
    </row>
    <row r="478" customFormat="1" ht="20" customHeight="1" spans="1:17">
      <c r="A478" s="418">
        <v>2070306</v>
      </c>
      <c r="B478" s="422" t="s">
        <v>471</v>
      </c>
      <c r="C478" s="307">
        <v>0</v>
      </c>
      <c r="D478" s="343"/>
      <c r="E478" s="307">
        <v>0</v>
      </c>
      <c r="F478" s="414"/>
      <c r="G478" s="346">
        <f t="shared" si="165"/>
        <v>0</v>
      </c>
      <c r="H478" s="414"/>
      <c r="I478" s="343"/>
      <c r="J478" s="307">
        <f t="shared" si="166"/>
        <v>0</v>
      </c>
      <c r="K478" s="306"/>
      <c r="M478">
        <f t="shared" si="157"/>
        <v>0</v>
      </c>
      <c r="N478" s="415"/>
      <c r="O478" s="415"/>
    </row>
    <row r="479" customFormat="1" ht="20" customHeight="1" spans="1:17">
      <c r="A479" s="418">
        <v>2070307</v>
      </c>
      <c r="B479" s="422" t="s">
        <v>472</v>
      </c>
      <c r="C479" s="307">
        <v>40.718336</v>
      </c>
      <c r="D479" s="343">
        <v>120</v>
      </c>
      <c r="E479" s="307">
        <v>21</v>
      </c>
      <c r="F479" s="414">
        <f>E479/D479*100</f>
        <v>17.5</v>
      </c>
      <c r="G479" s="346">
        <f t="shared" si="165"/>
        <v>-19.718336</v>
      </c>
      <c r="H479" s="414">
        <f>G479/C479*100</f>
        <v>-48.4261832310633</v>
      </c>
      <c r="I479" s="343"/>
      <c r="J479" s="307">
        <f t="shared" si="166"/>
        <v>-120</v>
      </c>
      <c r="K479" s="306">
        <f>J479/D479*100</f>
        <v>-100</v>
      </c>
      <c r="M479">
        <f t="shared" si="157"/>
        <v>0</v>
      </c>
      <c r="N479" s="415"/>
      <c r="O479" s="415"/>
      <c r="P479">
        <v>120</v>
      </c>
      <c r="Q479">
        <v>240</v>
      </c>
    </row>
    <row r="480" customFormat="1" ht="20" customHeight="1" spans="1:17">
      <c r="A480" s="418">
        <v>2070308</v>
      </c>
      <c r="B480" s="422" t="s">
        <v>473</v>
      </c>
      <c r="C480" s="307">
        <v>136.858455</v>
      </c>
      <c r="D480" s="425">
        <v>121.653476</v>
      </c>
      <c r="E480" s="307">
        <v>153</v>
      </c>
      <c r="F480" s="414">
        <f>E480/D480*100</f>
        <v>125.767059874228</v>
      </c>
      <c r="G480" s="346">
        <f t="shared" si="165"/>
        <v>16.141545</v>
      </c>
      <c r="H480" s="414">
        <f>G480/C480*100</f>
        <v>11.7943352495102</v>
      </c>
      <c r="I480" s="420">
        <v>213.460283</v>
      </c>
      <c r="J480" s="307">
        <f t="shared" si="166"/>
        <v>91.806807</v>
      </c>
      <c r="K480" s="306">
        <f>J480/D480*100</f>
        <v>75.465831325691</v>
      </c>
      <c r="M480">
        <f t="shared" si="157"/>
        <v>113</v>
      </c>
      <c r="N480" s="415">
        <v>113</v>
      </c>
      <c r="O480" s="415"/>
    </row>
    <row r="481" customFormat="1" ht="20" customHeight="1" spans="1:15">
      <c r="A481" s="418">
        <v>2070309</v>
      </c>
      <c r="B481" s="422" t="s">
        <v>474</v>
      </c>
      <c r="C481" s="307">
        <v>0</v>
      </c>
      <c r="D481" s="343"/>
      <c r="E481" s="307">
        <v>0</v>
      </c>
      <c r="F481" s="414"/>
      <c r="G481" s="346">
        <f t="shared" si="165"/>
        <v>0</v>
      </c>
      <c r="H481" s="414"/>
      <c r="I481" s="343"/>
      <c r="J481" s="307">
        <f t="shared" si="166"/>
        <v>0</v>
      </c>
      <c r="K481" s="306"/>
      <c r="M481">
        <f t="shared" si="157"/>
        <v>0</v>
      </c>
      <c r="N481" s="415"/>
      <c r="O481" s="415"/>
    </row>
    <row r="482" customFormat="1" ht="20" customHeight="1" spans="1:15">
      <c r="A482" s="418">
        <v>2070399</v>
      </c>
      <c r="B482" s="422" t="s">
        <v>475</v>
      </c>
      <c r="C482" s="307">
        <v>0</v>
      </c>
      <c r="D482" s="343"/>
      <c r="E482" s="307">
        <v>6</v>
      </c>
      <c r="F482" s="414"/>
      <c r="G482" s="346">
        <f t="shared" si="165"/>
        <v>6</v>
      </c>
      <c r="H482" s="414"/>
      <c r="I482" s="420">
        <v>4.2</v>
      </c>
      <c r="J482" s="307">
        <f t="shared" si="166"/>
        <v>4.2</v>
      </c>
      <c r="K482" s="306"/>
      <c r="M482">
        <f t="shared" si="157"/>
        <v>0</v>
      </c>
      <c r="N482" s="415"/>
      <c r="O482" s="415"/>
    </row>
    <row r="483" customFormat="1" ht="20" customHeight="1" spans="1:15">
      <c r="A483" s="416">
        <v>20706</v>
      </c>
      <c r="B483" s="427" t="s">
        <v>476</v>
      </c>
      <c r="C483" s="346">
        <v>0</v>
      </c>
      <c r="D483" s="346"/>
      <c r="E483" s="346">
        <v>0</v>
      </c>
      <c r="F483" s="414"/>
      <c r="G483" s="346">
        <f t="shared" si="165"/>
        <v>0</v>
      </c>
      <c r="H483" s="414"/>
      <c r="I483" s="346"/>
      <c r="J483" s="307">
        <f t="shared" si="166"/>
        <v>0</v>
      </c>
      <c r="K483" s="306"/>
      <c r="M483">
        <f t="shared" si="157"/>
        <v>0</v>
      </c>
      <c r="N483" s="415"/>
      <c r="O483" s="415"/>
    </row>
    <row r="484" customFormat="1" ht="20" customHeight="1" spans="1:15">
      <c r="A484" s="418">
        <v>2070601</v>
      </c>
      <c r="B484" s="422" t="s">
        <v>165</v>
      </c>
      <c r="C484" s="307">
        <v>0</v>
      </c>
      <c r="D484" s="343"/>
      <c r="E484" s="307">
        <v>0</v>
      </c>
      <c r="F484" s="414"/>
      <c r="G484" s="346">
        <f t="shared" si="165"/>
        <v>0</v>
      </c>
      <c r="H484" s="414"/>
      <c r="I484" s="343"/>
      <c r="J484" s="307">
        <f t="shared" si="166"/>
        <v>0</v>
      </c>
      <c r="K484" s="306"/>
      <c r="M484">
        <f t="shared" si="157"/>
        <v>0</v>
      </c>
      <c r="N484" s="415"/>
      <c r="O484" s="415"/>
    </row>
    <row r="485" customFormat="1" ht="20" customHeight="1" spans="1:15">
      <c r="A485" s="418">
        <v>2070602</v>
      </c>
      <c r="B485" s="422" t="s">
        <v>166</v>
      </c>
      <c r="C485" s="307">
        <v>0</v>
      </c>
      <c r="D485" s="343"/>
      <c r="E485" s="307">
        <v>0</v>
      </c>
      <c r="F485" s="414"/>
      <c r="G485" s="346">
        <f t="shared" si="165"/>
        <v>0</v>
      </c>
      <c r="H485" s="414"/>
      <c r="I485" s="343"/>
      <c r="J485" s="307">
        <f t="shared" si="166"/>
        <v>0</v>
      </c>
      <c r="K485" s="306"/>
      <c r="M485">
        <f t="shared" si="157"/>
        <v>0</v>
      </c>
      <c r="N485" s="415"/>
      <c r="O485" s="415"/>
    </row>
    <row r="486" customFormat="1" ht="20" customHeight="1" spans="1:15">
      <c r="A486" s="418">
        <v>2070603</v>
      </c>
      <c r="B486" s="422" t="s">
        <v>167</v>
      </c>
      <c r="C486" s="307">
        <v>0</v>
      </c>
      <c r="D486" s="343"/>
      <c r="E486" s="307">
        <v>0</v>
      </c>
      <c r="F486" s="414"/>
      <c r="G486" s="346">
        <f t="shared" si="165"/>
        <v>0</v>
      </c>
      <c r="H486" s="414"/>
      <c r="I486" s="343"/>
      <c r="J486" s="307">
        <f t="shared" si="166"/>
        <v>0</v>
      </c>
      <c r="K486" s="306"/>
      <c r="M486">
        <f t="shared" si="157"/>
        <v>0</v>
      </c>
      <c r="N486" s="415"/>
      <c r="O486" s="415"/>
    </row>
    <row r="487" customFormat="1" ht="20" customHeight="1" spans="1:15">
      <c r="A487" s="418">
        <v>2070604</v>
      </c>
      <c r="B487" s="422" t="s">
        <v>477</v>
      </c>
      <c r="C487" s="307">
        <v>0</v>
      </c>
      <c r="D487" s="343"/>
      <c r="E487" s="307">
        <v>0</v>
      </c>
      <c r="F487" s="414"/>
      <c r="G487" s="346">
        <f t="shared" si="165"/>
        <v>0</v>
      </c>
      <c r="H487" s="414"/>
      <c r="I487" s="343"/>
      <c r="J487" s="307">
        <f t="shared" si="166"/>
        <v>0</v>
      </c>
      <c r="K487" s="306"/>
      <c r="M487">
        <f t="shared" si="157"/>
        <v>0</v>
      </c>
      <c r="N487" s="415"/>
      <c r="O487" s="415"/>
    </row>
    <row r="488" customFormat="1" ht="20" customHeight="1" spans="1:15">
      <c r="A488" s="418">
        <v>2070605</v>
      </c>
      <c r="B488" s="422" t="s">
        <v>478</v>
      </c>
      <c r="C488" s="307">
        <v>0</v>
      </c>
      <c r="D488" s="343"/>
      <c r="E488" s="307">
        <v>0</v>
      </c>
      <c r="F488" s="414"/>
      <c r="G488" s="346">
        <f t="shared" si="165"/>
        <v>0</v>
      </c>
      <c r="H488" s="414"/>
      <c r="I488" s="343"/>
      <c r="J488" s="307">
        <f t="shared" si="166"/>
        <v>0</v>
      </c>
      <c r="K488" s="306"/>
      <c r="M488">
        <f t="shared" si="157"/>
        <v>0</v>
      </c>
      <c r="N488" s="415"/>
      <c r="O488" s="415"/>
    </row>
    <row r="489" customFormat="1" ht="20" customHeight="1" spans="1:15">
      <c r="A489" s="418">
        <v>2070606</v>
      </c>
      <c r="B489" s="422" t="s">
        <v>479</v>
      </c>
      <c r="C489" s="307">
        <v>0</v>
      </c>
      <c r="D489" s="343"/>
      <c r="E489" s="307">
        <v>0</v>
      </c>
      <c r="F489" s="414"/>
      <c r="G489" s="346">
        <f t="shared" si="165"/>
        <v>0</v>
      </c>
      <c r="H489" s="414"/>
      <c r="I489" s="343"/>
      <c r="J489" s="307">
        <f t="shared" si="166"/>
        <v>0</v>
      </c>
      <c r="K489" s="306"/>
      <c r="M489">
        <f t="shared" si="157"/>
        <v>0</v>
      </c>
      <c r="N489" s="415"/>
      <c r="O489" s="415"/>
    </row>
    <row r="490" customFormat="1" ht="20" customHeight="1" spans="1:15">
      <c r="A490" s="418">
        <v>2070607</v>
      </c>
      <c r="B490" s="422" t="s">
        <v>480</v>
      </c>
      <c r="C490" s="307">
        <v>0</v>
      </c>
      <c r="D490" s="343"/>
      <c r="E490" s="307">
        <v>0</v>
      </c>
      <c r="F490" s="414"/>
      <c r="G490" s="346">
        <f t="shared" si="165"/>
        <v>0</v>
      </c>
      <c r="H490" s="414"/>
      <c r="I490" s="343"/>
      <c r="J490" s="307">
        <f t="shared" si="166"/>
        <v>0</v>
      </c>
      <c r="K490" s="306"/>
      <c r="M490">
        <f t="shared" si="157"/>
        <v>0</v>
      </c>
      <c r="N490" s="415"/>
      <c r="O490" s="415"/>
    </row>
    <row r="491" customFormat="1" ht="20" customHeight="1" spans="1:15">
      <c r="A491" s="418">
        <v>2070699</v>
      </c>
      <c r="B491" s="422" t="s">
        <v>481</v>
      </c>
      <c r="C491" s="307">
        <v>0</v>
      </c>
      <c r="D491" s="343"/>
      <c r="E491" s="307">
        <v>0</v>
      </c>
      <c r="F491" s="414"/>
      <c r="G491" s="346">
        <f t="shared" si="165"/>
        <v>0</v>
      </c>
      <c r="H491" s="414"/>
      <c r="I491" s="343"/>
      <c r="J491" s="307">
        <f t="shared" si="166"/>
        <v>0</v>
      </c>
      <c r="K491" s="306"/>
      <c r="M491">
        <f t="shared" si="157"/>
        <v>0</v>
      </c>
      <c r="N491" s="415"/>
      <c r="O491" s="415"/>
    </row>
    <row r="492" customFormat="1" ht="20" customHeight="1" spans="1:15">
      <c r="A492" s="416">
        <v>20708</v>
      </c>
      <c r="B492" s="427" t="s">
        <v>482</v>
      </c>
      <c r="C492" s="371">
        <f>SUM(C493:C499)</f>
        <v>344.571959</v>
      </c>
      <c r="D492" s="371">
        <f t="shared" ref="D492:I492" si="169">SUM(D493:D499)</f>
        <v>544.655871</v>
      </c>
      <c r="E492" s="371">
        <f t="shared" si="169"/>
        <v>477</v>
      </c>
      <c r="F492" s="414">
        <f>E492/D492*100</f>
        <v>87.5782352486567</v>
      </c>
      <c r="G492" s="346">
        <f t="shared" si="165"/>
        <v>132.428041</v>
      </c>
      <c r="H492" s="414">
        <f>G492/C492*100</f>
        <v>38.4326227195986</v>
      </c>
      <c r="I492" s="371">
        <f t="shared" si="169"/>
        <v>438.677097</v>
      </c>
      <c r="J492" s="307">
        <f t="shared" si="166"/>
        <v>-105.978774</v>
      </c>
      <c r="K492" s="306">
        <f>J492/D492*100</f>
        <v>-19.4579329155895</v>
      </c>
      <c r="M492">
        <f t="shared" si="157"/>
        <v>0</v>
      </c>
      <c r="N492" s="415"/>
      <c r="O492" s="415"/>
    </row>
    <row r="493" customFormat="1" ht="20" customHeight="1" spans="1:15">
      <c r="A493" s="418">
        <v>2070801</v>
      </c>
      <c r="B493" s="422" t="s">
        <v>165</v>
      </c>
      <c r="C493" s="346">
        <v>0</v>
      </c>
      <c r="D493" s="343"/>
      <c r="E493" s="346">
        <v>0</v>
      </c>
      <c r="F493" s="414"/>
      <c r="G493" s="346">
        <f t="shared" si="165"/>
        <v>0</v>
      </c>
      <c r="H493" s="414"/>
      <c r="I493" s="343"/>
      <c r="J493" s="307">
        <f t="shared" si="166"/>
        <v>0</v>
      </c>
      <c r="K493" s="306"/>
      <c r="M493">
        <f t="shared" ref="M493:M556" si="170">N493+O493</f>
        <v>0</v>
      </c>
      <c r="N493" s="415"/>
      <c r="O493" s="415"/>
    </row>
    <row r="494" customFormat="1" ht="20" customHeight="1" spans="1:15">
      <c r="A494" s="418">
        <v>2070802</v>
      </c>
      <c r="B494" s="422" t="s">
        <v>166</v>
      </c>
      <c r="C494" s="307"/>
      <c r="D494" s="343"/>
      <c r="E494" s="307"/>
      <c r="F494" s="414"/>
      <c r="G494" s="346">
        <f t="shared" si="165"/>
        <v>0</v>
      </c>
      <c r="H494" s="414"/>
      <c r="I494" s="343"/>
      <c r="J494" s="307">
        <f t="shared" si="166"/>
        <v>0</v>
      </c>
      <c r="K494" s="306"/>
      <c r="M494">
        <f t="shared" si="170"/>
        <v>0</v>
      </c>
      <c r="N494" s="415"/>
      <c r="O494" s="415"/>
    </row>
    <row r="495" customFormat="1" ht="20" customHeight="1" spans="1:15">
      <c r="A495" s="418">
        <v>2070803</v>
      </c>
      <c r="B495" s="422" t="s">
        <v>167</v>
      </c>
      <c r="C495" s="307">
        <v>0</v>
      </c>
      <c r="D495" s="343"/>
      <c r="E495" s="307">
        <v>0</v>
      </c>
      <c r="F495" s="414"/>
      <c r="G495" s="346">
        <f t="shared" si="165"/>
        <v>0</v>
      </c>
      <c r="H495" s="414"/>
      <c r="I495" s="343"/>
      <c r="J495" s="307">
        <f t="shared" si="166"/>
        <v>0</v>
      </c>
      <c r="K495" s="306"/>
      <c r="M495">
        <f t="shared" si="170"/>
        <v>0</v>
      </c>
      <c r="N495" s="415"/>
      <c r="O495" s="415"/>
    </row>
    <row r="496" customFormat="1" ht="20" customHeight="1" spans="1:15">
      <c r="A496" s="418">
        <v>2070806</v>
      </c>
      <c r="B496" s="422" t="s">
        <v>483</v>
      </c>
      <c r="C496" s="307">
        <v>0</v>
      </c>
      <c r="D496" s="343"/>
      <c r="E496" s="307">
        <v>0</v>
      </c>
      <c r="F496" s="414"/>
      <c r="G496" s="346">
        <f t="shared" si="165"/>
        <v>0</v>
      </c>
      <c r="H496" s="414"/>
      <c r="I496" s="343"/>
      <c r="J496" s="307">
        <f t="shared" si="166"/>
        <v>0</v>
      </c>
      <c r="K496" s="306"/>
      <c r="M496">
        <f t="shared" si="170"/>
        <v>0</v>
      </c>
      <c r="N496" s="415"/>
      <c r="O496" s="415"/>
    </row>
    <row r="497" customFormat="1" ht="20" customHeight="1" spans="1:17">
      <c r="A497" s="418">
        <v>2070807</v>
      </c>
      <c r="B497" s="422" t="s">
        <v>484</v>
      </c>
      <c r="C497" s="307">
        <v>0</v>
      </c>
      <c r="D497" s="343"/>
      <c r="E497" s="307">
        <v>0</v>
      </c>
      <c r="F497" s="414"/>
      <c r="G497" s="346">
        <f t="shared" si="165"/>
        <v>0</v>
      </c>
      <c r="H497" s="414"/>
      <c r="I497" s="343"/>
      <c r="J497" s="307">
        <f t="shared" si="166"/>
        <v>0</v>
      </c>
      <c r="K497" s="306"/>
      <c r="M497">
        <f t="shared" si="170"/>
        <v>0</v>
      </c>
      <c r="N497" s="415"/>
      <c r="O497" s="415"/>
      <c r="Q497">
        <v>3</v>
      </c>
    </row>
    <row r="498" customFormat="1" ht="20" customHeight="1" spans="1:17">
      <c r="A498" s="418">
        <v>2070808</v>
      </c>
      <c r="B498" s="422" t="s">
        <v>485</v>
      </c>
      <c r="C498" s="307">
        <v>344.571959</v>
      </c>
      <c r="D498" s="425">
        <v>439.975871</v>
      </c>
      <c r="E498" s="307">
        <v>443</v>
      </c>
      <c r="F498" s="414">
        <f t="shared" ref="F498:F500" si="171">E498/D498*100</f>
        <v>100.687339738229</v>
      </c>
      <c r="G498" s="346">
        <f t="shared" si="165"/>
        <v>98.428041</v>
      </c>
      <c r="H498" s="414">
        <f t="shared" ref="H498:H507" si="172">G498/C498*100</f>
        <v>28.5653078926251</v>
      </c>
      <c r="I498" s="420">
        <v>438.677097</v>
      </c>
      <c r="J498" s="307">
        <f t="shared" si="166"/>
        <v>-1.29877399999998</v>
      </c>
      <c r="K498" s="306">
        <f t="shared" ref="K498:K500" si="173">J498/D498*100</f>
        <v>-0.295192097022971</v>
      </c>
      <c r="M498">
        <f t="shared" si="170"/>
        <v>384</v>
      </c>
      <c r="N498" s="415">
        <v>384</v>
      </c>
      <c r="O498" s="415"/>
    </row>
    <row r="499" customFormat="1" ht="20" customHeight="1" spans="1:17">
      <c r="A499" s="418">
        <v>2070899</v>
      </c>
      <c r="B499" s="422" t="s">
        <v>486</v>
      </c>
      <c r="C499" s="307">
        <v>0</v>
      </c>
      <c r="D499" s="343">
        <v>104.68</v>
      </c>
      <c r="E499" s="307">
        <v>34</v>
      </c>
      <c r="F499" s="414">
        <f t="shared" si="171"/>
        <v>32.4799388612916</v>
      </c>
      <c r="G499" s="346">
        <f t="shared" si="165"/>
        <v>34</v>
      </c>
      <c r="H499" s="414"/>
      <c r="I499" s="343"/>
      <c r="J499" s="307">
        <f t="shared" si="166"/>
        <v>-104.68</v>
      </c>
      <c r="K499" s="306">
        <f t="shared" si="173"/>
        <v>-100</v>
      </c>
      <c r="M499">
        <f t="shared" si="170"/>
        <v>0</v>
      </c>
      <c r="N499" s="415"/>
      <c r="O499" s="415"/>
      <c r="P499">
        <v>105</v>
      </c>
    </row>
    <row r="500" customFormat="1" ht="20" customHeight="1" spans="1:17">
      <c r="A500" s="416">
        <v>20799</v>
      </c>
      <c r="B500" s="427" t="s">
        <v>487</v>
      </c>
      <c r="C500" s="371">
        <f>SUM(C501:C503)</f>
        <v>229.89411</v>
      </c>
      <c r="D500" s="371">
        <f t="shared" ref="D500:I500" si="174">SUM(D501:D503)</f>
        <v>744.43094</v>
      </c>
      <c r="E500" s="371">
        <f t="shared" si="174"/>
        <v>140</v>
      </c>
      <c r="F500" s="414">
        <f t="shared" si="171"/>
        <v>18.8063113013546</v>
      </c>
      <c r="G500" s="346">
        <f t="shared" si="165"/>
        <v>-89.89411</v>
      </c>
      <c r="H500" s="414">
        <f t="shared" si="172"/>
        <v>-39.1023980562181</v>
      </c>
      <c r="I500" s="371">
        <f t="shared" si="174"/>
        <v>363.853</v>
      </c>
      <c r="J500" s="307">
        <f t="shared" si="166"/>
        <v>-380.57794</v>
      </c>
      <c r="K500" s="306">
        <f t="shared" si="173"/>
        <v>-51.1233372433446</v>
      </c>
      <c r="M500">
        <f t="shared" si="170"/>
        <v>0</v>
      </c>
      <c r="N500" s="415"/>
      <c r="O500" s="415"/>
    </row>
    <row r="501" customFormat="1" ht="20" customHeight="1" spans="1:17">
      <c r="A501" s="418">
        <v>2079902</v>
      </c>
      <c r="B501" s="239" t="s">
        <v>488</v>
      </c>
      <c r="C501" s="307">
        <v>0</v>
      </c>
      <c r="D501" s="343"/>
      <c r="E501" s="307">
        <v>0</v>
      </c>
      <c r="F501" s="414"/>
      <c r="G501" s="346">
        <f t="shared" si="165"/>
        <v>0</v>
      </c>
      <c r="H501" s="414"/>
      <c r="I501" s="343"/>
      <c r="J501" s="307">
        <f t="shared" si="166"/>
        <v>0</v>
      </c>
      <c r="K501" s="306"/>
      <c r="M501">
        <f t="shared" si="170"/>
        <v>0</v>
      </c>
      <c r="N501" s="415"/>
      <c r="O501" s="415"/>
    </row>
    <row r="502" customFormat="1" ht="20" customHeight="1" spans="1:17">
      <c r="A502" s="418">
        <v>2079903</v>
      </c>
      <c r="B502" s="239" t="s">
        <v>489</v>
      </c>
      <c r="C502" s="307">
        <v>0</v>
      </c>
      <c r="D502" s="343"/>
      <c r="E502" s="307">
        <v>0</v>
      </c>
      <c r="F502" s="414"/>
      <c r="G502" s="346">
        <f t="shared" si="165"/>
        <v>0</v>
      </c>
      <c r="H502" s="414"/>
      <c r="I502" s="343"/>
      <c r="J502" s="307">
        <f t="shared" si="166"/>
        <v>0</v>
      </c>
      <c r="K502" s="306"/>
      <c r="M502">
        <f t="shared" si="170"/>
        <v>0</v>
      </c>
      <c r="N502" s="415"/>
      <c r="O502" s="415"/>
    </row>
    <row r="503" customFormat="1" ht="20" customHeight="1" spans="1:17">
      <c r="A503" s="418">
        <v>2079999</v>
      </c>
      <c r="B503" s="239" t="s">
        <v>490</v>
      </c>
      <c r="C503" s="307">
        <v>229.89411</v>
      </c>
      <c r="D503" s="343">
        <f>388.36+356.07094</f>
        <v>744.43094</v>
      </c>
      <c r="E503" s="307">
        <v>140</v>
      </c>
      <c r="F503" s="414">
        <f t="shared" ref="F503:F507" si="175">E503/D503*100</f>
        <v>18.8063113013546</v>
      </c>
      <c r="G503" s="346">
        <f t="shared" si="165"/>
        <v>-89.89411</v>
      </c>
      <c r="H503" s="414">
        <f t="shared" si="172"/>
        <v>-39.1023980562181</v>
      </c>
      <c r="I503" s="343">
        <v>363.853</v>
      </c>
      <c r="J503" s="307">
        <f t="shared" si="166"/>
        <v>-380.57794</v>
      </c>
      <c r="K503" s="306">
        <f t="shared" ref="K503:K507" si="176">J503/D503*100</f>
        <v>-51.1233372433446</v>
      </c>
      <c r="M503">
        <f t="shared" si="170"/>
        <v>0</v>
      </c>
      <c r="N503" s="415"/>
      <c r="O503" s="415"/>
      <c r="P503">
        <v>309</v>
      </c>
      <c r="Q503">
        <v>262</v>
      </c>
    </row>
    <row r="504" s="278" customFormat="1" ht="20" customHeight="1" spans="1:17">
      <c r="A504" s="412">
        <v>208</v>
      </c>
      <c r="B504" s="413" t="s">
        <v>491</v>
      </c>
      <c r="C504" s="346">
        <f>SUM(C505:C627)/2</f>
        <v>52913.525966</v>
      </c>
      <c r="D504" s="346">
        <f t="shared" ref="D504:I504" si="177">SUM(D505:D627)/2</f>
        <v>58985.659159</v>
      </c>
      <c r="E504" s="346">
        <f t="shared" si="177"/>
        <v>68665.649753</v>
      </c>
      <c r="F504" s="414">
        <f t="shared" si="175"/>
        <v>116.410752599894</v>
      </c>
      <c r="G504" s="346">
        <f t="shared" si="165"/>
        <v>15752.123787</v>
      </c>
      <c r="H504" s="414">
        <f t="shared" si="172"/>
        <v>29.7695598609732</v>
      </c>
      <c r="I504" s="346">
        <f t="shared" si="177"/>
        <v>64041.082692</v>
      </c>
      <c r="J504" s="307">
        <f t="shared" si="166"/>
        <v>5055.423533</v>
      </c>
      <c r="K504" s="306">
        <f t="shared" si="176"/>
        <v>8.57059767590755</v>
      </c>
      <c r="M504" s="278">
        <f t="shared" si="170"/>
        <v>0</v>
      </c>
      <c r="N504" s="415"/>
      <c r="O504" s="415"/>
    </row>
    <row r="505" customFormat="1" ht="20" customHeight="1" spans="1:17">
      <c r="A505" s="416" t="s">
        <v>492</v>
      </c>
      <c r="B505" s="427" t="s">
        <v>493</v>
      </c>
      <c r="C505" s="346">
        <f>SUM(C506:C519)</f>
        <v>2522.473294</v>
      </c>
      <c r="D505" s="346">
        <f t="shared" ref="D505:I505" si="178">SUM(D506:D519)</f>
        <v>2611.977188</v>
      </c>
      <c r="E505" s="346">
        <f t="shared" si="178"/>
        <v>4278</v>
      </c>
      <c r="F505" s="414">
        <f t="shared" si="175"/>
        <v>163.783972526792</v>
      </c>
      <c r="G505" s="346">
        <f t="shared" si="165"/>
        <v>1755.526706</v>
      </c>
      <c r="H505" s="414">
        <f t="shared" si="172"/>
        <v>69.5954526129465</v>
      </c>
      <c r="I505" s="346">
        <f t="shared" si="178"/>
        <v>2855.099027</v>
      </c>
      <c r="J505" s="307">
        <f t="shared" si="166"/>
        <v>243.121839000001</v>
      </c>
      <c r="K505" s="306">
        <f t="shared" si="176"/>
        <v>9.30796180445052</v>
      </c>
      <c r="M505">
        <f t="shared" si="170"/>
        <v>0</v>
      </c>
      <c r="N505" s="415"/>
      <c r="O505" s="415"/>
    </row>
    <row r="506" customFormat="1" ht="20" customHeight="1" spans="1:17">
      <c r="A506" s="418">
        <v>2080101</v>
      </c>
      <c r="B506" s="239" t="s">
        <v>165</v>
      </c>
      <c r="C506" s="307">
        <v>304.800183</v>
      </c>
      <c r="D506" s="343">
        <v>623.079913</v>
      </c>
      <c r="E506" s="307">
        <v>2126</v>
      </c>
      <c r="F506" s="414">
        <f t="shared" si="175"/>
        <v>341.208239207031</v>
      </c>
      <c r="G506" s="346">
        <f t="shared" si="165"/>
        <v>1821.199817</v>
      </c>
      <c r="H506" s="414">
        <f t="shared" si="172"/>
        <v>597.506142901496</v>
      </c>
      <c r="I506" s="420">
        <v>340</v>
      </c>
      <c r="J506" s="307">
        <f t="shared" si="166"/>
        <v>-283.079913</v>
      </c>
      <c r="K506" s="306">
        <f t="shared" si="176"/>
        <v>-45.4323606159969</v>
      </c>
      <c r="M506">
        <f t="shared" si="170"/>
        <v>202</v>
      </c>
      <c r="N506" s="415">
        <v>202</v>
      </c>
      <c r="O506" s="415"/>
    </row>
    <row r="507" customFormat="1" ht="20" customHeight="1" spans="1:17">
      <c r="A507" s="418">
        <v>2080102</v>
      </c>
      <c r="B507" s="239" t="s">
        <v>166</v>
      </c>
      <c r="C507" s="307">
        <v>93.67925</v>
      </c>
      <c r="D507" s="343">
        <v>21.355</v>
      </c>
      <c r="E507" s="307">
        <v>26</v>
      </c>
      <c r="F507" s="414">
        <f t="shared" si="175"/>
        <v>121.751346288925</v>
      </c>
      <c r="G507" s="346">
        <f t="shared" si="165"/>
        <v>-67.67925</v>
      </c>
      <c r="H507" s="414">
        <f t="shared" si="172"/>
        <v>-72.2457214377784</v>
      </c>
      <c r="I507" s="343"/>
      <c r="J507" s="307">
        <f t="shared" si="166"/>
        <v>-21.355</v>
      </c>
      <c r="K507" s="306">
        <f t="shared" si="176"/>
        <v>-100</v>
      </c>
      <c r="M507">
        <f t="shared" si="170"/>
        <v>159</v>
      </c>
      <c r="N507" s="415">
        <v>159</v>
      </c>
      <c r="O507" s="415"/>
    </row>
    <row r="508" customFormat="1" ht="20" customHeight="1" spans="1:17">
      <c r="A508" s="418">
        <v>2080103</v>
      </c>
      <c r="B508" s="239" t="s">
        <v>167</v>
      </c>
      <c r="C508" s="307">
        <v>0</v>
      </c>
      <c r="D508" s="343"/>
      <c r="E508" s="307">
        <v>0</v>
      </c>
      <c r="F508" s="414"/>
      <c r="G508" s="346">
        <f t="shared" si="165"/>
        <v>0</v>
      </c>
      <c r="H508" s="414"/>
      <c r="I508" s="343"/>
      <c r="J508" s="307">
        <f t="shared" si="166"/>
        <v>0</v>
      </c>
      <c r="K508" s="306"/>
      <c r="M508">
        <f t="shared" si="170"/>
        <v>0</v>
      </c>
      <c r="N508" s="415"/>
      <c r="O508" s="415"/>
    </row>
    <row r="509" customFormat="1" ht="20" customHeight="1" spans="1:17">
      <c r="A509" s="418">
        <v>2080104</v>
      </c>
      <c r="B509" s="239" t="s">
        <v>494</v>
      </c>
      <c r="C509" s="307">
        <v>0</v>
      </c>
      <c r="D509" s="343"/>
      <c r="E509" s="307">
        <v>0</v>
      </c>
      <c r="F509" s="414"/>
      <c r="G509" s="346">
        <f t="shared" si="165"/>
        <v>0</v>
      </c>
      <c r="H509" s="414"/>
      <c r="I509" s="343"/>
      <c r="J509" s="307">
        <f t="shared" si="166"/>
        <v>0</v>
      </c>
      <c r="K509" s="306"/>
      <c r="M509">
        <f t="shared" si="170"/>
        <v>0</v>
      </c>
      <c r="N509" s="415"/>
      <c r="O509" s="415"/>
    </row>
    <row r="510" customFormat="1" ht="20" customHeight="1" spans="1:17">
      <c r="A510" s="418">
        <v>2080105</v>
      </c>
      <c r="B510" s="239" t="s">
        <v>495</v>
      </c>
      <c r="C510" s="307">
        <v>14.845844</v>
      </c>
      <c r="D510" s="343"/>
      <c r="E510" s="307"/>
      <c r="F510" s="414"/>
      <c r="G510" s="346">
        <f t="shared" si="165"/>
        <v>-14.845844</v>
      </c>
      <c r="H510" s="414">
        <f>G510/C510*100</f>
        <v>-100</v>
      </c>
      <c r="I510" s="343"/>
      <c r="J510" s="307">
        <f t="shared" si="166"/>
        <v>0</v>
      </c>
      <c r="K510" s="306"/>
      <c r="M510">
        <f t="shared" si="170"/>
        <v>12</v>
      </c>
      <c r="N510" s="415">
        <v>12</v>
      </c>
      <c r="O510" s="415"/>
    </row>
    <row r="511" customFormat="1" ht="20" customHeight="1" spans="1:17">
      <c r="A511" s="418">
        <v>2080106</v>
      </c>
      <c r="B511" s="239" t="s">
        <v>496</v>
      </c>
      <c r="C511" s="307">
        <v>0</v>
      </c>
      <c r="D511" s="343"/>
      <c r="E511" s="307">
        <v>0</v>
      </c>
      <c r="F511" s="414"/>
      <c r="G511" s="346">
        <f t="shared" si="165"/>
        <v>0</v>
      </c>
      <c r="H511" s="414"/>
      <c r="I511" s="343"/>
      <c r="J511" s="307">
        <f t="shared" si="166"/>
        <v>0</v>
      </c>
      <c r="K511" s="306"/>
      <c r="M511">
        <f t="shared" si="170"/>
        <v>0</v>
      </c>
      <c r="N511" s="415"/>
      <c r="O511" s="415"/>
    </row>
    <row r="512" customFormat="1" ht="20" customHeight="1" spans="1:17">
      <c r="A512" s="418">
        <v>2080107</v>
      </c>
      <c r="B512" s="239" t="s">
        <v>497</v>
      </c>
      <c r="C512" s="307">
        <v>0</v>
      </c>
      <c r="D512" s="343"/>
      <c r="E512" s="307">
        <v>0</v>
      </c>
      <c r="F512" s="414"/>
      <c r="G512" s="346">
        <f t="shared" si="165"/>
        <v>0</v>
      </c>
      <c r="H512" s="414"/>
      <c r="I512" s="343"/>
      <c r="J512" s="307">
        <f t="shared" si="166"/>
        <v>0</v>
      </c>
      <c r="K512" s="306"/>
      <c r="M512">
        <f t="shared" si="170"/>
        <v>0</v>
      </c>
      <c r="N512" s="415"/>
      <c r="O512" s="415"/>
    </row>
    <row r="513" customFormat="1" ht="20" customHeight="1" spans="1:17">
      <c r="A513" s="418">
        <v>2080108</v>
      </c>
      <c r="B513" s="239" t="s">
        <v>207</v>
      </c>
      <c r="C513" s="307">
        <v>0</v>
      </c>
      <c r="D513" s="343"/>
      <c r="E513" s="307">
        <v>0</v>
      </c>
      <c r="F513" s="414"/>
      <c r="G513" s="346">
        <f t="shared" si="165"/>
        <v>0</v>
      </c>
      <c r="H513" s="414"/>
      <c r="I513" s="343"/>
      <c r="J513" s="307">
        <f t="shared" si="166"/>
        <v>0</v>
      </c>
      <c r="K513" s="306"/>
      <c r="M513">
        <f t="shared" si="170"/>
        <v>0</v>
      </c>
      <c r="N513" s="415"/>
      <c r="O513" s="415"/>
    </row>
    <row r="514" customFormat="1" ht="20" customHeight="1" spans="1:17">
      <c r="A514" s="418">
        <v>2080109</v>
      </c>
      <c r="B514" s="239" t="s">
        <v>498</v>
      </c>
      <c r="C514" s="307">
        <v>609.874264</v>
      </c>
      <c r="D514" s="425">
        <v>368.345803</v>
      </c>
      <c r="E514" s="307">
        <v>350</v>
      </c>
      <c r="F514" s="414">
        <f t="shared" ref="F514:F521" si="179">E514/D514*100</f>
        <v>95.0194076189868</v>
      </c>
      <c r="G514" s="346">
        <f t="shared" si="165"/>
        <v>-259.874264</v>
      </c>
      <c r="H514" s="414">
        <f t="shared" ref="H514:H522" si="180">G514/C514*100</f>
        <v>-42.6111215606239</v>
      </c>
      <c r="I514" s="420">
        <v>756.164996</v>
      </c>
      <c r="J514" s="307">
        <f t="shared" si="166"/>
        <v>387.819193</v>
      </c>
      <c r="K514" s="306">
        <f t="shared" ref="K514:K521" si="181">J514/D514*100</f>
        <v>105.286714234667</v>
      </c>
      <c r="M514">
        <f t="shared" si="170"/>
        <v>661</v>
      </c>
      <c r="N514" s="415">
        <v>661</v>
      </c>
      <c r="O514" s="415"/>
    </row>
    <row r="515" customFormat="1" ht="20" customHeight="1" spans="1:17">
      <c r="A515" s="418">
        <v>2080110</v>
      </c>
      <c r="B515" s="239" t="s">
        <v>499</v>
      </c>
      <c r="C515" s="307">
        <v>0</v>
      </c>
      <c r="D515" s="343"/>
      <c r="E515" s="307">
        <v>0</v>
      </c>
      <c r="F515" s="414"/>
      <c r="G515" s="346">
        <f t="shared" si="165"/>
        <v>0</v>
      </c>
      <c r="H515" s="414"/>
      <c r="I515" s="343"/>
      <c r="J515" s="307">
        <f t="shared" si="166"/>
        <v>0</v>
      </c>
      <c r="K515" s="306"/>
      <c r="M515">
        <f t="shared" si="170"/>
        <v>0</v>
      </c>
      <c r="N515" s="415"/>
      <c r="O515" s="415"/>
    </row>
    <row r="516" customFormat="1" ht="20" customHeight="1" spans="1:17">
      <c r="A516" s="418">
        <v>2080111</v>
      </c>
      <c r="B516" s="430" t="s">
        <v>500</v>
      </c>
      <c r="C516" s="307">
        <v>76.462308</v>
      </c>
      <c r="D516" s="425">
        <v>70.382114</v>
      </c>
      <c r="E516" s="307">
        <v>75</v>
      </c>
      <c r="F516" s="414">
        <f t="shared" si="179"/>
        <v>106.561164104846</v>
      </c>
      <c r="G516" s="346">
        <f t="shared" si="165"/>
        <v>-1.46230799999999</v>
      </c>
      <c r="H516" s="414">
        <f t="shared" si="180"/>
        <v>-1.91245600381301</v>
      </c>
      <c r="I516" s="420">
        <v>68.104066</v>
      </c>
      <c r="J516" s="307">
        <f t="shared" si="166"/>
        <v>-2.278048</v>
      </c>
      <c r="K516" s="306">
        <f t="shared" si="181"/>
        <v>-3.23668595688956</v>
      </c>
      <c r="M516">
        <f t="shared" si="170"/>
        <v>63</v>
      </c>
      <c r="N516" s="415">
        <v>63</v>
      </c>
      <c r="O516" s="415"/>
    </row>
    <row r="517" customFormat="1" ht="20" customHeight="1" spans="1:17">
      <c r="A517" s="418">
        <v>2080112</v>
      </c>
      <c r="B517" s="430" t="s">
        <v>501</v>
      </c>
      <c r="C517" s="307">
        <v>37.153768</v>
      </c>
      <c r="D517" s="425">
        <v>49.557226</v>
      </c>
      <c r="E517" s="307">
        <v>54</v>
      </c>
      <c r="F517" s="414">
        <f t="shared" si="179"/>
        <v>108.964936818699</v>
      </c>
      <c r="G517" s="346">
        <f t="shared" si="165"/>
        <v>16.846232</v>
      </c>
      <c r="H517" s="414">
        <f t="shared" si="180"/>
        <v>45.3419206364211</v>
      </c>
      <c r="I517" s="420">
        <v>47.645361</v>
      </c>
      <c r="J517" s="307">
        <f t="shared" si="166"/>
        <v>-1.911865</v>
      </c>
      <c r="K517" s="306">
        <f t="shared" si="181"/>
        <v>-3.85789349872004</v>
      </c>
      <c r="M517">
        <f t="shared" si="170"/>
        <v>22</v>
      </c>
      <c r="N517" s="415">
        <v>22</v>
      </c>
      <c r="O517" s="415"/>
    </row>
    <row r="518" customFormat="1" ht="20" customHeight="1" spans="1:17">
      <c r="A518" s="418">
        <v>2080150</v>
      </c>
      <c r="B518" s="430" t="s">
        <v>174</v>
      </c>
      <c r="C518" s="307">
        <v>1311.248728</v>
      </c>
      <c r="D518" s="343">
        <v>1443.722378</v>
      </c>
      <c r="E518" s="307">
        <v>1475</v>
      </c>
      <c r="F518" s="414">
        <f t="shared" si="179"/>
        <v>102.166456825538</v>
      </c>
      <c r="G518" s="346">
        <f t="shared" ref="G518:G581" si="182">E518-C518</f>
        <v>163.751272</v>
      </c>
      <c r="H518" s="414">
        <f t="shared" si="180"/>
        <v>12.4881930104721</v>
      </c>
      <c r="I518" s="343">
        <v>1581.66</v>
      </c>
      <c r="J518" s="307">
        <f t="shared" ref="J518:J581" si="183">I518-D518</f>
        <v>137.937622</v>
      </c>
      <c r="K518" s="306">
        <f t="shared" si="181"/>
        <v>9.55430379842738</v>
      </c>
      <c r="M518">
        <f t="shared" si="170"/>
        <v>1247</v>
      </c>
      <c r="N518" s="415">
        <v>1247</v>
      </c>
      <c r="O518" s="415"/>
    </row>
    <row r="519" customFormat="1" ht="20" customHeight="1" spans="1:17">
      <c r="A519" s="418">
        <v>2080199</v>
      </c>
      <c r="B519" s="430" t="s">
        <v>502</v>
      </c>
      <c r="C519" s="307">
        <v>74.408949</v>
      </c>
      <c r="D519" s="425">
        <v>35.534754</v>
      </c>
      <c r="E519" s="307">
        <v>172</v>
      </c>
      <c r="F519" s="414">
        <f t="shared" si="179"/>
        <v>484.033180587095</v>
      </c>
      <c r="G519" s="346">
        <f t="shared" si="182"/>
        <v>97.591051</v>
      </c>
      <c r="H519" s="414">
        <f t="shared" si="180"/>
        <v>131.154991854542</v>
      </c>
      <c r="I519" s="420">
        <f>34.244604+27.28</f>
        <v>61.524604</v>
      </c>
      <c r="J519" s="307">
        <f t="shared" si="183"/>
        <v>25.98985</v>
      </c>
      <c r="K519" s="306">
        <f t="shared" si="181"/>
        <v>73.1392427818693</v>
      </c>
      <c r="M519">
        <f t="shared" si="170"/>
        <v>26</v>
      </c>
      <c r="N519" s="415">
        <v>26</v>
      </c>
      <c r="O519" s="415"/>
      <c r="P519">
        <v>31</v>
      </c>
      <c r="Q519">
        <v>85</v>
      </c>
    </row>
    <row r="520" customFormat="1" ht="20" customHeight="1" spans="1:17">
      <c r="A520" s="416">
        <v>20802</v>
      </c>
      <c r="B520" s="427" t="s">
        <v>503</v>
      </c>
      <c r="C520" s="346">
        <f>SUM(C521:C527)</f>
        <v>299.982954</v>
      </c>
      <c r="D520" s="346">
        <f t="shared" ref="D520:I520" si="184">SUM(D521:D527)</f>
        <v>252.114949</v>
      </c>
      <c r="E520" s="346">
        <f t="shared" si="184"/>
        <v>287.649753</v>
      </c>
      <c r="F520" s="414">
        <f t="shared" si="179"/>
        <v>114.0946834533</v>
      </c>
      <c r="G520" s="346">
        <f t="shared" si="182"/>
        <v>-12.3332009999999</v>
      </c>
      <c r="H520" s="414">
        <f t="shared" si="180"/>
        <v>-4.1113006041003</v>
      </c>
      <c r="I520" s="346">
        <f t="shared" si="184"/>
        <v>245.150951</v>
      </c>
      <c r="J520" s="307">
        <f t="shared" si="183"/>
        <v>-6.96399800000003</v>
      </c>
      <c r="K520" s="306">
        <f t="shared" si="181"/>
        <v>-2.76223128680879</v>
      </c>
      <c r="M520">
        <f t="shared" si="170"/>
        <v>0</v>
      </c>
      <c r="N520" s="415"/>
      <c r="O520" s="415"/>
    </row>
    <row r="521" customFormat="1" ht="20" customHeight="1" spans="1:17">
      <c r="A521" s="418">
        <v>2080201</v>
      </c>
      <c r="B521" s="239" t="s">
        <v>165</v>
      </c>
      <c r="C521" s="307">
        <v>126.313031</v>
      </c>
      <c r="D521" s="425">
        <v>117.509639</v>
      </c>
      <c r="E521" s="307">
        <v>115</v>
      </c>
      <c r="F521" s="414">
        <f t="shared" si="179"/>
        <v>97.8643122203788</v>
      </c>
      <c r="G521" s="346">
        <f t="shared" si="182"/>
        <v>-11.313031</v>
      </c>
      <c r="H521" s="414">
        <f t="shared" si="180"/>
        <v>-8.95634512958524</v>
      </c>
      <c r="I521" s="420">
        <v>109.084531</v>
      </c>
      <c r="J521" s="307">
        <f t="shared" si="183"/>
        <v>-8.42510800000001</v>
      </c>
      <c r="K521" s="306">
        <f t="shared" si="181"/>
        <v>-7.16971652002097</v>
      </c>
      <c r="M521">
        <f t="shared" si="170"/>
        <v>120</v>
      </c>
      <c r="N521" s="415">
        <v>120</v>
      </c>
      <c r="O521" s="415"/>
    </row>
    <row r="522" customFormat="1" ht="20" customHeight="1" spans="1:17">
      <c r="A522" s="418">
        <v>2080202</v>
      </c>
      <c r="B522" s="239" t="s">
        <v>166</v>
      </c>
      <c r="C522" s="307">
        <v>0.2</v>
      </c>
      <c r="D522" s="343"/>
      <c r="E522" s="307"/>
      <c r="F522" s="414"/>
      <c r="G522" s="346">
        <f t="shared" si="182"/>
        <v>-0.2</v>
      </c>
      <c r="H522" s="414">
        <f t="shared" si="180"/>
        <v>-100</v>
      </c>
      <c r="I522" s="420">
        <v>1.5</v>
      </c>
      <c r="J522" s="307">
        <f t="shared" si="183"/>
        <v>1.5</v>
      </c>
      <c r="K522" s="306"/>
      <c r="M522">
        <f t="shared" si="170"/>
        <v>0</v>
      </c>
      <c r="N522" s="415"/>
      <c r="O522" s="415"/>
    </row>
    <row r="523" customFormat="1" ht="20" customHeight="1" spans="1:17">
      <c r="A523" s="418">
        <v>2080203</v>
      </c>
      <c r="B523" s="239" t="s">
        <v>167</v>
      </c>
      <c r="C523" s="307">
        <v>0</v>
      </c>
      <c r="D523" s="343"/>
      <c r="E523" s="307">
        <v>0</v>
      </c>
      <c r="F523" s="414"/>
      <c r="G523" s="346">
        <f t="shared" si="182"/>
        <v>0</v>
      </c>
      <c r="H523" s="414"/>
      <c r="I523" s="343"/>
      <c r="J523" s="307">
        <f t="shared" si="183"/>
        <v>0</v>
      </c>
      <c r="K523" s="306"/>
      <c r="M523">
        <f t="shared" si="170"/>
        <v>0</v>
      </c>
      <c r="N523" s="415"/>
      <c r="O523" s="415"/>
    </row>
    <row r="524" customFormat="1" ht="20" customHeight="1" spans="1:17">
      <c r="A524" s="418">
        <v>2080206</v>
      </c>
      <c r="B524" s="239" t="s">
        <v>504</v>
      </c>
      <c r="C524" s="307">
        <v>0</v>
      </c>
      <c r="D524" s="343"/>
      <c r="E524" s="307">
        <v>0</v>
      </c>
      <c r="F524" s="414"/>
      <c r="G524" s="346">
        <f t="shared" si="182"/>
        <v>0</v>
      </c>
      <c r="H524" s="414"/>
      <c r="I524" s="343"/>
      <c r="J524" s="307">
        <f t="shared" si="183"/>
        <v>0</v>
      </c>
      <c r="K524" s="306"/>
      <c r="M524">
        <f t="shared" si="170"/>
        <v>0</v>
      </c>
      <c r="N524" s="415"/>
      <c r="O524" s="415"/>
    </row>
    <row r="525" customFormat="1" ht="20" customHeight="1" spans="1:17">
      <c r="A525" s="418">
        <v>2080207</v>
      </c>
      <c r="B525" s="239" t="s">
        <v>505</v>
      </c>
      <c r="C525" s="307">
        <v>16.649753</v>
      </c>
      <c r="D525" s="343">
        <v>12.249331</v>
      </c>
      <c r="E525" s="307">
        <v>16.649753</v>
      </c>
      <c r="F525" s="414">
        <f t="shared" ref="F525:F532" si="185">E525/D525*100</f>
        <v>135.923774122848</v>
      </c>
      <c r="G525" s="346">
        <f t="shared" si="182"/>
        <v>0</v>
      </c>
      <c r="H525" s="414">
        <f t="shared" ref="H525:H527" si="186">G525/C525*100</f>
        <v>0</v>
      </c>
      <c r="I525" s="420">
        <v>18.56642</v>
      </c>
      <c r="J525" s="307">
        <f t="shared" si="183"/>
        <v>6.317089</v>
      </c>
      <c r="K525" s="306">
        <f t="shared" ref="K525:K532" si="187">J525/D525*100</f>
        <v>51.570889871455</v>
      </c>
      <c r="M525">
        <f t="shared" si="170"/>
        <v>18</v>
      </c>
      <c r="N525" s="415">
        <v>18</v>
      </c>
      <c r="O525" s="415"/>
    </row>
    <row r="526" customFormat="1" ht="20" customHeight="1" spans="1:17">
      <c r="A526" s="418">
        <v>2080208</v>
      </c>
      <c r="B526" s="239" t="s">
        <v>506</v>
      </c>
      <c r="C526" s="307">
        <v>20.689473</v>
      </c>
      <c r="D526" s="343"/>
      <c r="E526" s="307"/>
      <c r="F526" s="414"/>
      <c r="G526" s="346">
        <f t="shared" si="182"/>
        <v>-20.689473</v>
      </c>
      <c r="H526" s="414">
        <f t="shared" si="186"/>
        <v>-100</v>
      </c>
      <c r="I526" s="343"/>
      <c r="J526" s="307">
        <f t="shared" si="183"/>
        <v>0</v>
      </c>
      <c r="K526" s="306"/>
      <c r="M526">
        <f t="shared" si="170"/>
        <v>0</v>
      </c>
      <c r="N526" s="415"/>
      <c r="O526" s="415"/>
    </row>
    <row r="527" customFormat="1" ht="20" customHeight="1" spans="1:17">
      <c r="A527" s="418">
        <v>2080299</v>
      </c>
      <c r="B527" s="239" t="s">
        <v>507</v>
      </c>
      <c r="C527" s="307">
        <v>136.130697</v>
      </c>
      <c r="D527" s="343">
        <v>122.355979</v>
      </c>
      <c r="E527" s="307">
        <v>156</v>
      </c>
      <c r="F527" s="414">
        <f t="shared" si="185"/>
        <v>127.496834462009</v>
      </c>
      <c r="G527" s="346">
        <f t="shared" si="182"/>
        <v>19.869303</v>
      </c>
      <c r="H527" s="414">
        <f t="shared" si="186"/>
        <v>14.5957549897802</v>
      </c>
      <c r="I527" s="343">
        <v>116</v>
      </c>
      <c r="J527" s="307">
        <f t="shared" si="183"/>
        <v>-6.355979</v>
      </c>
      <c r="K527" s="306">
        <f t="shared" si="187"/>
        <v>-5.19466155389105</v>
      </c>
      <c r="M527">
        <f t="shared" si="170"/>
        <v>115</v>
      </c>
      <c r="N527" s="415">
        <v>115</v>
      </c>
      <c r="O527" s="415"/>
      <c r="P527">
        <v>90</v>
      </c>
      <c r="Q527">
        <v>1</v>
      </c>
    </row>
    <row r="528" customFormat="1" ht="20" customHeight="1" spans="1:17">
      <c r="A528" s="416">
        <v>20804</v>
      </c>
      <c r="B528" s="427" t="s">
        <v>508</v>
      </c>
      <c r="C528" s="346">
        <v>0</v>
      </c>
      <c r="D528" s="346"/>
      <c r="E528" s="346">
        <v>0</v>
      </c>
      <c r="F528" s="414"/>
      <c r="G528" s="346">
        <f t="shared" si="182"/>
        <v>0</v>
      </c>
      <c r="H528" s="414"/>
      <c r="I528" s="429"/>
      <c r="J528" s="307">
        <f t="shared" si="183"/>
        <v>0</v>
      </c>
      <c r="K528" s="306"/>
      <c r="M528">
        <f t="shared" si="170"/>
        <v>0</v>
      </c>
      <c r="N528" s="415"/>
      <c r="O528" s="415"/>
    </row>
    <row r="529" customFormat="1" ht="20" customHeight="1" spans="1:16">
      <c r="A529" s="418">
        <v>2080402</v>
      </c>
      <c r="B529" s="239" t="s">
        <v>509</v>
      </c>
      <c r="C529" s="307">
        <v>0</v>
      </c>
      <c r="D529" s="343"/>
      <c r="E529" s="307">
        <v>0</v>
      </c>
      <c r="F529" s="414"/>
      <c r="G529" s="346">
        <f t="shared" si="182"/>
        <v>0</v>
      </c>
      <c r="H529" s="414"/>
      <c r="I529" s="431"/>
      <c r="J529" s="307">
        <f t="shared" si="183"/>
        <v>0</v>
      </c>
      <c r="K529" s="306"/>
      <c r="M529">
        <f t="shared" si="170"/>
        <v>0</v>
      </c>
      <c r="N529" s="415"/>
      <c r="O529" s="415"/>
    </row>
    <row r="530" customFormat="1" ht="20" customHeight="1" spans="1:16">
      <c r="A530" s="416">
        <v>20805</v>
      </c>
      <c r="B530" s="427" t="s">
        <v>510</v>
      </c>
      <c r="C530" s="346">
        <f>SUM(C531:C538)</f>
        <v>26036.757832</v>
      </c>
      <c r="D530" s="346">
        <f t="shared" ref="D530:I530" si="188">SUM(D531:D538)</f>
        <v>31292.502393</v>
      </c>
      <c r="E530" s="346">
        <f t="shared" si="188"/>
        <v>31663</v>
      </c>
      <c r="F530" s="414">
        <f t="shared" si="185"/>
        <v>101.183982036166</v>
      </c>
      <c r="G530" s="346">
        <f t="shared" si="182"/>
        <v>5626.242168</v>
      </c>
      <c r="H530" s="414">
        <f t="shared" ref="H530:H532" si="189">G530/C530*100</f>
        <v>21.608843175878</v>
      </c>
      <c r="I530" s="346">
        <f t="shared" si="188"/>
        <v>29577.582113</v>
      </c>
      <c r="J530" s="307">
        <f t="shared" si="183"/>
        <v>-1714.92028</v>
      </c>
      <c r="K530" s="306">
        <f t="shared" si="187"/>
        <v>-5.48029128020014</v>
      </c>
      <c r="M530">
        <f t="shared" si="170"/>
        <v>0</v>
      </c>
      <c r="N530" s="415"/>
      <c r="O530" s="415"/>
    </row>
    <row r="531" customFormat="1" ht="20" customHeight="1" spans="1:16">
      <c r="A531" s="418">
        <v>2080501</v>
      </c>
      <c r="B531" s="239" t="s">
        <v>511</v>
      </c>
      <c r="C531" s="307">
        <v>1576.865197</v>
      </c>
      <c r="D531" s="343">
        <v>2112.861643</v>
      </c>
      <c r="E531" s="307">
        <v>1490</v>
      </c>
      <c r="F531" s="414">
        <f t="shared" si="185"/>
        <v>70.520471841421</v>
      </c>
      <c r="G531" s="346">
        <f t="shared" si="182"/>
        <v>-86.8651970000001</v>
      </c>
      <c r="H531" s="414">
        <f t="shared" si="189"/>
        <v>-5.50872688199739</v>
      </c>
      <c r="I531" s="432">
        <v>1057.27</v>
      </c>
      <c r="J531" s="307">
        <f t="shared" si="183"/>
        <v>-1055.591643</v>
      </c>
      <c r="K531" s="306">
        <f t="shared" si="187"/>
        <v>-49.9602823733026</v>
      </c>
      <c r="M531">
        <f t="shared" si="170"/>
        <v>1922</v>
      </c>
      <c r="N531" s="415">
        <v>1922</v>
      </c>
      <c r="O531" s="415"/>
    </row>
    <row r="532" customFormat="1" ht="20" customHeight="1" spans="1:16">
      <c r="A532" s="418">
        <v>2080502</v>
      </c>
      <c r="B532" s="239" t="s">
        <v>512</v>
      </c>
      <c r="C532" s="307">
        <v>2491.748066</v>
      </c>
      <c r="D532" s="343">
        <v>3736.563456</v>
      </c>
      <c r="E532" s="307">
        <v>1759</v>
      </c>
      <c r="F532" s="414">
        <f t="shared" si="185"/>
        <v>47.0753413052702</v>
      </c>
      <c r="G532" s="346">
        <f t="shared" si="182"/>
        <v>-732.748066</v>
      </c>
      <c r="H532" s="414">
        <f t="shared" si="189"/>
        <v>-29.406988451135</v>
      </c>
      <c r="I532" s="432">
        <v>2129.58</v>
      </c>
      <c r="J532" s="307">
        <f t="shared" si="183"/>
        <v>-1606.983456</v>
      </c>
      <c r="K532" s="306">
        <f t="shared" si="187"/>
        <v>-43.0069895753966</v>
      </c>
      <c r="M532">
        <f t="shared" si="170"/>
        <v>3286</v>
      </c>
      <c r="N532" s="415">
        <v>3286</v>
      </c>
      <c r="O532" s="415"/>
    </row>
    <row r="533" customFormat="1" ht="20" customHeight="1" spans="1:16">
      <c r="A533" s="418">
        <v>2080503</v>
      </c>
      <c r="B533" s="239" t="s">
        <v>513</v>
      </c>
      <c r="C533" s="307">
        <v>0</v>
      </c>
      <c r="D533" s="343"/>
      <c r="E533" s="307">
        <v>0</v>
      </c>
      <c r="F533" s="414"/>
      <c r="G533" s="346">
        <f t="shared" si="182"/>
        <v>0</v>
      </c>
      <c r="H533" s="414"/>
      <c r="I533" s="432"/>
      <c r="J533" s="307">
        <f t="shared" si="183"/>
        <v>0</v>
      </c>
      <c r="K533" s="306"/>
      <c r="M533">
        <f t="shared" si="170"/>
        <v>0</v>
      </c>
      <c r="N533" s="415"/>
      <c r="O533" s="415"/>
    </row>
    <row r="534" customFormat="1" ht="20" customHeight="1" spans="1:16">
      <c r="A534" s="418">
        <v>2080505</v>
      </c>
      <c r="B534" s="430" t="s">
        <v>514</v>
      </c>
      <c r="C534" s="307">
        <v>6009.368803</v>
      </c>
      <c r="D534" s="343">
        <v>9613.24756</v>
      </c>
      <c r="E534" s="307">
        <v>10118</v>
      </c>
      <c r="F534" s="414">
        <f t="shared" ref="F534:F536" si="190">E534/D534*100</f>
        <v>105.25059233989</v>
      </c>
      <c r="G534" s="346">
        <f t="shared" si="182"/>
        <v>4108.631197</v>
      </c>
      <c r="H534" s="414">
        <f t="shared" ref="H534:H536" si="191">G534/C534*100</f>
        <v>68.3704284374906</v>
      </c>
      <c r="I534" s="432">
        <v>10379.34</v>
      </c>
      <c r="J534" s="307">
        <f t="shared" si="183"/>
        <v>766.09244</v>
      </c>
      <c r="K534" s="306">
        <f t="shared" ref="K534:K536" si="192">J534/D534*100</f>
        <v>7.96913254567222</v>
      </c>
      <c r="M534">
        <f t="shared" si="170"/>
        <v>11748</v>
      </c>
      <c r="N534" s="415">
        <v>11748</v>
      </c>
      <c r="O534" s="415"/>
    </row>
    <row r="535" customFormat="1" ht="20" customHeight="1" spans="1:16">
      <c r="A535" s="418">
        <v>2080506</v>
      </c>
      <c r="B535" s="430" t="s">
        <v>515</v>
      </c>
      <c r="C535" s="307">
        <v>6736.967166</v>
      </c>
      <c r="D535" s="343">
        <v>4801.829734</v>
      </c>
      <c r="E535" s="307">
        <v>5033</v>
      </c>
      <c r="F535" s="414">
        <f t="shared" si="190"/>
        <v>104.814212056774</v>
      </c>
      <c r="G535" s="346">
        <f t="shared" si="182"/>
        <v>-1703.967166</v>
      </c>
      <c r="H535" s="414">
        <f t="shared" si="191"/>
        <v>-25.2927930924103</v>
      </c>
      <c r="I535" s="432">
        <v>5489.35</v>
      </c>
      <c r="J535" s="307">
        <f t="shared" si="183"/>
        <v>687.520266</v>
      </c>
      <c r="K535" s="306">
        <f t="shared" si="192"/>
        <v>14.317880976327</v>
      </c>
      <c r="M535">
        <f t="shared" si="170"/>
        <v>5859</v>
      </c>
      <c r="N535" s="415">
        <v>5859</v>
      </c>
      <c r="O535" s="415"/>
    </row>
    <row r="536" customFormat="1" ht="32" customHeight="1" spans="1:16">
      <c r="A536" s="418">
        <v>2080507</v>
      </c>
      <c r="B536" s="430" t="s">
        <v>516</v>
      </c>
      <c r="C536" s="307">
        <v>9160</v>
      </c>
      <c r="D536" s="425">
        <f>8211+2817</f>
        <v>11028</v>
      </c>
      <c r="E536" s="307">
        <v>13263</v>
      </c>
      <c r="F536" s="414">
        <f t="shared" si="190"/>
        <v>120.266594124048</v>
      </c>
      <c r="G536" s="346">
        <f t="shared" si="182"/>
        <v>4103</v>
      </c>
      <c r="H536" s="414">
        <f t="shared" si="191"/>
        <v>44.792576419214</v>
      </c>
      <c r="I536" s="420">
        <f>4989.042113+3292+2241</f>
        <v>10522.042113</v>
      </c>
      <c r="J536" s="307">
        <f t="shared" si="183"/>
        <v>-505.957887</v>
      </c>
      <c r="K536" s="306">
        <f t="shared" si="192"/>
        <v>-4.58793876496192</v>
      </c>
      <c r="M536">
        <f t="shared" si="170"/>
        <v>6058</v>
      </c>
      <c r="N536" s="415">
        <v>6058</v>
      </c>
      <c r="O536" s="415"/>
      <c r="P536">
        <v>2817</v>
      </c>
    </row>
    <row r="537" customFormat="1" ht="20" customHeight="1" spans="1:16">
      <c r="A537" s="418">
        <v>2080508</v>
      </c>
      <c r="B537" s="239" t="s">
        <v>517</v>
      </c>
      <c r="C537" s="307">
        <v>0</v>
      </c>
      <c r="D537" s="343"/>
      <c r="E537" s="307">
        <v>0</v>
      </c>
      <c r="F537" s="414"/>
      <c r="G537" s="346">
        <f t="shared" si="182"/>
        <v>0</v>
      </c>
      <c r="H537" s="414"/>
      <c r="I537" s="343"/>
      <c r="J537" s="307">
        <f t="shared" si="183"/>
        <v>0</v>
      </c>
      <c r="K537" s="306"/>
      <c r="M537">
        <f t="shared" si="170"/>
        <v>4</v>
      </c>
      <c r="N537" s="415">
        <v>4</v>
      </c>
      <c r="O537" s="415"/>
    </row>
    <row r="538" customFormat="1" ht="20" customHeight="1" spans="1:16">
      <c r="A538" s="418">
        <v>2080599</v>
      </c>
      <c r="B538" s="239" t="s">
        <v>518</v>
      </c>
      <c r="C538" s="307">
        <v>61.8086</v>
      </c>
      <c r="D538" s="343"/>
      <c r="E538" s="307"/>
      <c r="F538" s="414"/>
      <c r="G538" s="346">
        <f t="shared" si="182"/>
        <v>-61.8086</v>
      </c>
      <c r="H538" s="414">
        <f>G538/C538*100</f>
        <v>-100</v>
      </c>
      <c r="I538" s="343"/>
      <c r="J538" s="307">
        <f t="shared" si="183"/>
        <v>0</v>
      </c>
      <c r="K538" s="306"/>
      <c r="M538">
        <f t="shared" si="170"/>
        <v>12</v>
      </c>
      <c r="N538" s="415">
        <v>12</v>
      </c>
      <c r="O538" s="415"/>
    </row>
    <row r="539" customFormat="1" ht="20" customHeight="1" spans="1:16">
      <c r="A539" s="416">
        <v>20806</v>
      </c>
      <c r="B539" s="427" t="s">
        <v>519</v>
      </c>
      <c r="C539" s="346">
        <v>0</v>
      </c>
      <c r="D539" s="346"/>
      <c r="E539" s="346">
        <v>0</v>
      </c>
      <c r="F539" s="414"/>
      <c r="G539" s="346">
        <f t="shared" si="182"/>
        <v>0</v>
      </c>
      <c r="H539" s="414"/>
      <c r="I539" s="346"/>
      <c r="J539" s="307">
        <f t="shared" si="183"/>
        <v>0</v>
      </c>
      <c r="K539" s="306"/>
      <c r="M539">
        <f t="shared" si="170"/>
        <v>0</v>
      </c>
      <c r="N539" s="415"/>
      <c r="O539" s="415"/>
    </row>
    <row r="540" customFormat="1" ht="20" customHeight="1" spans="1:16">
      <c r="A540" s="418">
        <v>2080601</v>
      </c>
      <c r="B540" s="239" t="s">
        <v>520</v>
      </c>
      <c r="C540" s="343">
        <v>0</v>
      </c>
      <c r="D540" s="343"/>
      <c r="E540" s="343">
        <v>0</v>
      </c>
      <c r="F540" s="414"/>
      <c r="G540" s="346">
        <f t="shared" si="182"/>
        <v>0</v>
      </c>
      <c r="H540" s="414"/>
      <c r="I540" s="343"/>
      <c r="J540" s="307">
        <f t="shared" si="183"/>
        <v>0</v>
      </c>
      <c r="K540" s="306"/>
      <c r="M540">
        <f t="shared" si="170"/>
        <v>0</v>
      </c>
      <c r="N540" s="415"/>
      <c r="O540" s="415"/>
    </row>
    <row r="541" customFormat="1" ht="20" customHeight="1" spans="1:16">
      <c r="A541" s="418">
        <v>2080602</v>
      </c>
      <c r="B541" s="239" t="s">
        <v>521</v>
      </c>
      <c r="C541" s="343">
        <v>0</v>
      </c>
      <c r="D541" s="343"/>
      <c r="E541" s="343">
        <v>0</v>
      </c>
      <c r="F541" s="414"/>
      <c r="G541" s="346">
        <f t="shared" si="182"/>
        <v>0</v>
      </c>
      <c r="H541" s="414"/>
      <c r="I541" s="343"/>
      <c r="J541" s="307">
        <f t="shared" si="183"/>
        <v>0</v>
      </c>
      <c r="K541" s="306"/>
      <c r="M541">
        <f t="shared" si="170"/>
        <v>0</v>
      </c>
      <c r="N541" s="415"/>
      <c r="O541" s="415"/>
    </row>
    <row r="542" customFormat="1" ht="20" customHeight="1" spans="1:16">
      <c r="A542" s="418">
        <v>2080699</v>
      </c>
      <c r="B542" s="239" t="s">
        <v>522</v>
      </c>
      <c r="C542" s="343">
        <v>0</v>
      </c>
      <c r="D542" s="343"/>
      <c r="E542" s="343">
        <v>0</v>
      </c>
      <c r="F542" s="414"/>
      <c r="G542" s="346">
        <f t="shared" si="182"/>
        <v>0</v>
      </c>
      <c r="H542" s="414"/>
      <c r="I542" s="343"/>
      <c r="J542" s="307">
        <f t="shared" si="183"/>
        <v>0</v>
      </c>
      <c r="K542" s="306"/>
      <c r="M542">
        <f t="shared" si="170"/>
        <v>0</v>
      </c>
      <c r="N542" s="415"/>
      <c r="O542" s="415"/>
    </row>
    <row r="543" customFormat="1" ht="20" customHeight="1" spans="1:16">
      <c r="A543" s="416">
        <v>20807</v>
      </c>
      <c r="B543" s="427" t="s">
        <v>523</v>
      </c>
      <c r="C543" s="346">
        <f>SUM(C544:C552)</f>
        <v>1436.813338</v>
      </c>
      <c r="D543" s="346">
        <f t="shared" ref="D543:I543" si="193">SUM(D544:D552)</f>
        <v>1014.536436</v>
      </c>
      <c r="E543" s="346">
        <f t="shared" si="193"/>
        <v>1329</v>
      </c>
      <c r="F543" s="414">
        <f>E543/D543*100</f>
        <v>130.995788109871</v>
      </c>
      <c r="G543" s="346">
        <f t="shared" si="182"/>
        <v>-107.813338</v>
      </c>
      <c r="H543" s="414">
        <f t="shared" ref="H543:H549" si="194">G543/C543*100</f>
        <v>-7.50364261999913</v>
      </c>
      <c r="I543" s="346">
        <f t="shared" si="193"/>
        <v>2009.84</v>
      </c>
      <c r="J543" s="307">
        <f t="shared" si="183"/>
        <v>995.303564</v>
      </c>
      <c r="K543" s="306">
        <f>J543/D543*100</f>
        <v>98.1042699584227</v>
      </c>
      <c r="M543">
        <f t="shared" si="170"/>
        <v>0</v>
      </c>
      <c r="N543" s="415"/>
      <c r="O543" s="415"/>
    </row>
    <row r="544" customFormat="1" ht="20" customHeight="1" spans="1:16">
      <c r="A544" s="418">
        <v>2080701</v>
      </c>
      <c r="B544" s="239" t="s">
        <v>524</v>
      </c>
      <c r="C544" s="343">
        <v>0</v>
      </c>
      <c r="D544" s="343"/>
      <c r="E544" s="343">
        <v>0</v>
      </c>
      <c r="F544" s="414"/>
      <c r="G544" s="346">
        <f t="shared" si="182"/>
        <v>0</v>
      </c>
      <c r="H544" s="414"/>
      <c r="I544" s="343"/>
      <c r="J544" s="307">
        <f t="shared" si="183"/>
        <v>0</v>
      </c>
      <c r="K544" s="306"/>
      <c r="M544">
        <f t="shared" si="170"/>
        <v>0</v>
      </c>
      <c r="N544" s="415"/>
      <c r="O544" s="415"/>
    </row>
    <row r="545" customFormat="1" ht="20" customHeight="1" spans="1:17">
      <c r="A545" s="418">
        <v>2080702</v>
      </c>
      <c r="B545" s="239" t="s">
        <v>525</v>
      </c>
      <c r="C545" s="343">
        <v>29.115</v>
      </c>
      <c r="D545" s="343"/>
      <c r="E545" s="343">
        <v>56</v>
      </c>
      <c r="F545" s="414"/>
      <c r="G545" s="346">
        <f t="shared" si="182"/>
        <v>26.885</v>
      </c>
      <c r="H545" s="414">
        <f t="shared" si="194"/>
        <v>92.3407178430362</v>
      </c>
      <c r="I545" s="343"/>
      <c r="J545" s="307">
        <f t="shared" si="183"/>
        <v>0</v>
      </c>
      <c r="K545" s="306"/>
      <c r="M545">
        <f t="shared" si="170"/>
        <v>0</v>
      </c>
      <c r="N545" s="415"/>
      <c r="O545" s="415"/>
      <c r="P545">
        <v>110</v>
      </c>
    </row>
    <row r="546" customFormat="1" ht="20" customHeight="1" spans="1:17">
      <c r="A546" s="418">
        <v>2080704</v>
      </c>
      <c r="B546" s="239" t="s">
        <v>526</v>
      </c>
      <c r="C546" s="343">
        <v>630.085022</v>
      </c>
      <c r="D546" s="343"/>
      <c r="E546" s="343">
        <v>449</v>
      </c>
      <c r="F546" s="414"/>
      <c r="G546" s="346">
        <f t="shared" si="182"/>
        <v>-181.085022</v>
      </c>
      <c r="H546" s="414">
        <f t="shared" si="194"/>
        <v>-28.739775693319</v>
      </c>
      <c r="I546" s="343">
        <v>77.78</v>
      </c>
      <c r="J546" s="307">
        <f t="shared" si="183"/>
        <v>77.78</v>
      </c>
      <c r="K546" s="306"/>
      <c r="M546">
        <f t="shared" si="170"/>
        <v>0</v>
      </c>
      <c r="N546" s="415"/>
      <c r="O546" s="415"/>
      <c r="P546">
        <v>337</v>
      </c>
    </row>
    <row r="547" customFormat="1" ht="20" customHeight="1" spans="1:17">
      <c r="A547" s="418">
        <v>2080705</v>
      </c>
      <c r="B547" s="239" t="s">
        <v>527</v>
      </c>
      <c r="C547" s="343">
        <v>665.1046</v>
      </c>
      <c r="D547" s="343"/>
      <c r="E547" s="343">
        <v>627</v>
      </c>
      <c r="F547" s="414"/>
      <c r="G547" s="346">
        <f t="shared" si="182"/>
        <v>-38.1046</v>
      </c>
      <c r="H547" s="414">
        <f t="shared" si="194"/>
        <v>-5.72911388674804</v>
      </c>
      <c r="I547" s="343">
        <v>6.06</v>
      </c>
      <c r="J547" s="307">
        <f t="shared" si="183"/>
        <v>6.06</v>
      </c>
      <c r="K547" s="306"/>
      <c r="M547">
        <f t="shared" si="170"/>
        <v>0</v>
      </c>
      <c r="N547" s="415"/>
      <c r="O547" s="415"/>
      <c r="P547">
        <v>416</v>
      </c>
      <c r="Q547">
        <v>223</v>
      </c>
    </row>
    <row r="548" customFormat="1" ht="20" customHeight="1" spans="1:17">
      <c r="A548" s="418">
        <v>2080709</v>
      </c>
      <c r="B548" s="239" t="s">
        <v>528</v>
      </c>
      <c r="C548" s="343">
        <v>3.2373</v>
      </c>
      <c r="D548" s="343"/>
      <c r="E548" s="343">
        <v>10</v>
      </c>
      <c r="F548" s="414"/>
      <c r="G548" s="346">
        <f t="shared" si="182"/>
        <v>6.7627</v>
      </c>
      <c r="H548" s="414">
        <f t="shared" si="194"/>
        <v>208.899391468199</v>
      </c>
      <c r="I548" s="343"/>
      <c r="J548" s="307">
        <f t="shared" si="183"/>
        <v>0</v>
      </c>
      <c r="K548" s="306"/>
      <c r="M548">
        <f t="shared" si="170"/>
        <v>0</v>
      </c>
      <c r="N548" s="415"/>
      <c r="O548" s="415"/>
    </row>
    <row r="549" customFormat="1" ht="20" customHeight="1" spans="1:17">
      <c r="A549" s="418">
        <v>2080711</v>
      </c>
      <c r="B549" s="239" t="s">
        <v>529</v>
      </c>
      <c r="C549" s="343">
        <v>35.325</v>
      </c>
      <c r="D549" s="343"/>
      <c r="E549" s="343">
        <v>7</v>
      </c>
      <c r="F549" s="414"/>
      <c r="G549" s="346">
        <f t="shared" si="182"/>
        <v>-28.325</v>
      </c>
      <c r="H549" s="414">
        <f t="shared" si="194"/>
        <v>-80.1840056617127</v>
      </c>
      <c r="I549" s="343"/>
      <c r="J549" s="307">
        <f t="shared" si="183"/>
        <v>0</v>
      </c>
      <c r="K549" s="306"/>
      <c r="M549">
        <f t="shared" si="170"/>
        <v>0</v>
      </c>
      <c r="N549" s="415"/>
      <c r="O549" s="415"/>
      <c r="P549">
        <v>20</v>
      </c>
    </row>
    <row r="550" customFormat="1" ht="20" customHeight="1" spans="1:17">
      <c r="A550" s="418">
        <v>2080712</v>
      </c>
      <c r="B550" s="239" t="s">
        <v>530</v>
      </c>
      <c r="C550" s="343">
        <v>0</v>
      </c>
      <c r="D550" s="343"/>
      <c r="E550" s="343">
        <v>0</v>
      </c>
      <c r="F550" s="414"/>
      <c r="G550" s="346">
        <f t="shared" si="182"/>
        <v>0</v>
      </c>
      <c r="H550" s="414"/>
      <c r="I550" s="343"/>
      <c r="J550" s="307">
        <f t="shared" si="183"/>
        <v>0</v>
      </c>
      <c r="K550" s="306"/>
      <c r="M550">
        <f t="shared" si="170"/>
        <v>0</v>
      </c>
      <c r="N550" s="415"/>
      <c r="O550" s="415"/>
    </row>
    <row r="551" customFormat="1" ht="20" customHeight="1" spans="1:17">
      <c r="A551" s="418">
        <v>2080713</v>
      </c>
      <c r="B551" s="239" t="s">
        <v>531</v>
      </c>
      <c r="C551" s="343">
        <v>0</v>
      </c>
      <c r="D551" s="343"/>
      <c r="E551" s="343">
        <v>0</v>
      </c>
      <c r="F551" s="414"/>
      <c r="G551" s="346">
        <f t="shared" si="182"/>
        <v>0</v>
      </c>
      <c r="H551" s="414"/>
      <c r="I551" s="343"/>
      <c r="J551" s="307">
        <f t="shared" si="183"/>
        <v>0</v>
      </c>
      <c r="K551" s="306"/>
      <c r="M551">
        <f t="shared" si="170"/>
        <v>0</v>
      </c>
      <c r="N551" s="415"/>
      <c r="O551" s="415"/>
    </row>
    <row r="552" customFormat="1" ht="20" customHeight="1" spans="1:17">
      <c r="A552" s="418">
        <v>2080799</v>
      </c>
      <c r="B552" s="239" t="s">
        <v>532</v>
      </c>
      <c r="C552" s="343">
        <v>73.946416</v>
      </c>
      <c r="D552" s="343">
        <f>909+105.536436</f>
        <v>1014.536436</v>
      </c>
      <c r="E552" s="343">
        <v>180</v>
      </c>
      <c r="F552" s="414">
        <f t="shared" ref="F552:F557" si="195">E552/D552*100</f>
        <v>17.7420931977252</v>
      </c>
      <c r="G552" s="346">
        <f t="shared" si="182"/>
        <v>106.053584</v>
      </c>
      <c r="H552" s="414">
        <f t="shared" ref="H552:H558" si="196">G552/C552*100</f>
        <v>143.419505280689</v>
      </c>
      <c r="I552" s="343">
        <v>1926</v>
      </c>
      <c r="J552" s="307">
        <f t="shared" si="183"/>
        <v>911.463564</v>
      </c>
      <c r="K552" s="306">
        <f t="shared" ref="K552:K557" si="197">J552/D552*100</f>
        <v>89.84039721566</v>
      </c>
      <c r="M552">
        <f t="shared" si="170"/>
        <v>0</v>
      </c>
      <c r="N552" s="415"/>
      <c r="O552" s="415"/>
      <c r="P552">
        <v>27</v>
      </c>
      <c r="Q552">
        <v>33</v>
      </c>
    </row>
    <row r="553" customFormat="1" ht="20" customHeight="1" spans="1:17">
      <c r="A553" s="416">
        <v>20808</v>
      </c>
      <c r="B553" s="427" t="s">
        <v>533</v>
      </c>
      <c r="C553" s="346">
        <f>SUM(C554:C561)</f>
        <v>3664.111146</v>
      </c>
      <c r="D553" s="346">
        <f t="shared" ref="D553:I553" si="198">SUM(D554:D561)</f>
        <v>3046.089</v>
      </c>
      <c r="E553" s="346">
        <f t="shared" si="198"/>
        <v>4032</v>
      </c>
      <c r="F553" s="414">
        <f t="shared" si="195"/>
        <v>132.366454164668</v>
      </c>
      <c r="G553" s="346">
        <f t="shared" si="182"/>
        <v>367.888854</v>
      </c>
      <c r="H553" s="414">
        <f t="shared" si="196"/>
        <v>10.0403300921047</v>
      </c>
      <c r="I553" s="346">
        <f t="shared" si="198"/>
        <v>3101.948</v>
      </c>
      <c r="J553" s="307">
        <f t="shared" si="183"/>
        <v>55.8590000000004</v>
      </c>
      <c r="K553" s="306">
        <f t="shared" si="197"/>
        <v>1.83379408809133</v>
      </c>
      <c r="M553">
        <f t="shared" si="170"/>
        <v>0</v>
      </c>
      <c r="N553" s="415"/>
      <c r="O553" s="415"/>
    </row>
    <row r="554" customFormat="1" ht="20" customHeight="1" spans="1:17">
      <c r="A554" s="418">
        <v>2080801</v>
      </c>
      <c r="B554" s="239" t="s">
        <v>534</v>
      </c>
      <c r="C554" s="307">
        <v>302.382066</v>
      </c>
      <c r="D554" s="343"/>
      <c r="E554" s="307">
        <v>594</v>
      </c>
      <c r="F554" s="414"/>
      <c r="G554" s="346">
        <f t="shared" si="182"/>
        <v>291.617934</v>
      </c>
      <c r="H554" s="414">
        <f t="shared" si="196"/>
        <v>96.4402214250365</v>
      </c>
      <c r="I554" s="343">
        <f>28+7</f>
        <v>35</v>
      </c>
      <c r="J554" s="307">
        <f t="shared" si="183"/>
        <v>35</v>
      </c>
      <c r="K554" s="306"/>
      <c r="M554">
        <f t="shared" si="170"/>
        <v>0</v>
      </c>
      <c r="N554" s="415"/>
      <c r="O554" s="415"/>
      <c r="P554">
        <v>10</v>
      </c>
      <c r="Q554">
        <v>1</v>
      </c>
    </row>
    <row r="555" customFormat="1" ht="20" customHeight="1" spans="1:17">
      <c r="A555" s="418">
        <v>2080802</v>
      </c>
      <c r="B555" s="239" t="s">
        <v>535</v>
      </c>
      <c r="C555" s="307">
        <v>286.3356</v>
      </c>
      <c r="D555" s="425">
        <v>1.939</v>
      </c>
      <c r="E555" s="307">
        <v>312</v>
      </c>
      <c r="F555" s="414">
        <f t="shared" si="195"/>
        <v>16090.7684373388</v>
      </c>
      <c r="G555" s="346">
        <f t="shared" si="182"/>
        <v>25.6644</v>
      </c>
      <c r="H555" s="414">
        <f t="shared" si="196"/>
        <v>8.96304895374518</v>
      </c>
      <c r="I555" s="425">
        <f>16.58+200</f>
        <v>216.58</v>
      </c>
      <c r="J555" s="307">
        <f t="shared" si="183"/>
        <v>214.641</v>
      </c>
      <c r="K555" s="306">
        <f t="shared" si="197"/>
        <v>11069.6750902527</v>
      </c>
      <c r="M555">
        <f t="shared" si="170"/>
        <v>1</v>
      </c>
      <c r="N555" s="415">
        <v>1</v>
      </c>
      <c r="O555" s="415"/>
      <c r="P555">
        <v>80</v>
      </c>
      <c r="Q555">
        <v>5</v>
      </c>
    </row>
    <row r="556" customFormat="1" ht="20" customHeight="1" spans="1:17">
      <c r="A556" s="418">
        <v>2080803</v>
      </c>
      <c r="B556" s="239" t="s">
        <v>536</v>
      </c>
      <c r="C556" s="307">
        <v>2051.39535</v>
      </c>
      <c r="D556" s="425">
        <v>49</v>
      </c>
      <c r="E556" s="307">
        <v>2119</v>
      </c>
      <c r="F556" s="414">
        <f t="shared" si="195"/>
        <v>4324.48979591837</v>
      </c>
      <c r="G556" s="346">
        <f t="shared" si="182"/>
        <v>67.6046500000002</v>
      </c>
      <c r="H556" s="414">
        <f t="shared" si="196"/>
        <v>3.29554466426963</v>
      </c>
      <c r="I556" s="420">
        <f>45.308+1517.4+596.82</f>
        <v>2159.528</v>
      </c>
      <c r="J556" s="307">
        <f t="shared" si="183"/>
        <v>2110.528</v>
      </c>
      <c r="K556" s="306">
        <f t="shared" si="197"/>
        <v>4307.2</v>
      </c>
      <c r="M556">
        <f t="shared" si="170"/>
        <v>15</v>
      </c>
      <c r="N556" s="415">
        <v>15</v>
      </c>
      <c r="O556" s="415"/>
      <c r="P556">
        <v>2348</v>
      </c>
      <c r="Q556">
        <v>52</v>
      </c>
    </row>
    <row r="557" customFormat="1" ht="20" customHeight="1" spans="1:17">
      <c r="A557" s="418">
        <v>2080805</v>
      </c>
      <c r="B557" s="239" t="s">
        <v>537</v>
      </c>
      <c r="C557" s="307">
        <v>431.53933</v>
      </c>
      <c r="D557" s="425">
        <v>220</v>
      </c>
      <c r="E557" s="307">
        <v>468</v>
      </c>
      <c r="F557" s="414">
        <f t="shared" si="195"/>
        <v>212.727272727273</v>
      </c>
      <c r="G557" s="346">
        <f t="shared" si="182"/>
        <v>36.46067</v>
      </c>
      <c r="H557" s="414">
        <f t="shared" si="196"/>
        <v>8.44897960980752</v>
      </c>
      <c r="I557" s="420">
        <v>250</v>
      </c>
      <c r="J557" s="307">
        <f t="shared" si="183"/>
        <v>30</v>
      </c>
      <c r="K557" s="306">
        <f t="shared" si="197"/>
        <v>13.6363636363636</v>
      </c>
      <c r="M557">
        <f t="shared" ref="M557:M620" si="199">N557+O557</f>
        <v>270</v>
      </c>
      <c r="N557" s="415">
        <v>270</v>
      </c>
      <c r="O557" s="415"/>
      <c r="Q557">
        <v>307</v>
      </c>
    </row>
    <row r="558" customFormat="1" ht="20" customHeight="1" spans="1:17">
      <c r="A558" s="418">
        <v>2080806</v>
      </c>
      <c r="B558" s="239" t="s">
        <v>538</v>
      </c>
      <c r="C558" s="307">
        <v>265.4718</v>
      </c>
      <c r="D558" s="343"/>
      <c r="E558" s="307">
        <v>280</v>
      </c>
      <c r="F558" s="414"/>
      <c r="G558" s="346">
        <f t="shared" si="182"/>
        <v>14.5282</v>
      </c>
      <c r="H558" s="414">
        <f t="shared" si="196"/>
        <v>5.47259633603269</v>
      </c>
      <c r="I558" s="343">
        <f>192+96</f>
        <v>288</v>
      </c>
      <c r="J558" s="307">
        <f t="shared" si="183"/>
        <v>288</v>
      </c>
      <c r="K558" s="306"/>
      <c r="M558">
        <f t="shared" si="199"/>
        <v>0</v>
      </c>
      <c r="N558" s="415"/>
      <c r="O558" s="415"/>
      <c r="P558">
        <v>80</v>
      </c>
      <c r="Q558">
        <v>12</v>
      </c>
    </row>
    <row r="559" customFormat="1" ht="20" customHeight="1" spans="1:17">
      <c r="A559" s="418">
        <v>2080807</v>
      </c>
      <c r="B559" s="239" t="s">
        <v>539</v>
      </c>
      <c r="C559" s="307">
        <v>0</v>
      </c>
      <c r="D559" s="343"/>
      <c r="E559" s="307">
        <v>0</v>
      </c>
      <c r="F559" s="414"/>
      <c r="G559" s="346">
        <f t="shared" si="182"/>
        <v>0</v>
      </c>
      <c r="H559" s="414"/>
      <c r="I559" s="343"/>
      <c r="J559" s="307">
        <f t="shared" si="183"/>
        <v>0</v>
      </c>
      <c r="K559" s="306"/>
      <c r="M559">
        <f t="shared" si="199"/>
        <v>2</v>
      </c>
      <c r="N559" s="415">
        <v>2</v>
      </c>
      <c r="O559" s="415"/>
    </row>
    <row r="560" customFormat="1" ht="20" customHeight="1" spans="1:17">
      <c r="A560" s="418">
        <v>2080808</v>
      </c>
      <c r="B560" s="239" t="s">
        <v>540</v>
      </c>
      <c r="C560" s="307">
        <v>0</v>
      </c>
      <c r="D560" s="343"/>
      <c r="E560" s="307">
        <v>0</v>
      </c>
      <c r="F560" s="414"/>
      <c r="G560" s="346">
        <f t="shared" si="182"/>
        <v>0</v>
      </c>
      <c r="H560" s="414"/>
      <c r="I560" s="343"/>
      <c r="J560" s="307">
        <f t="shared" si="183"/>
        <v>0</v>
      </c>
      <c r="K560" s="306"/>
      <c r="M560">
        <f t="shared" si="199"/>
        <v>1</v>
      </c>
      <c r="N560" s="415">
        <v>1</v>
      </c>
      <c r="O560" s="415"/>
    </row>
    <row r="561" customFormat="1" ht="20" customHeight="1" spans="1:17">
      <c r="A561" s="418">
        <v>2080899</v>
      </c>
      <c r="B561" s="239" t="s">
        <v>541</v>
      </c>
      <c r="C561" s="307">
        <v>326.987</v>
      </c>
      <c r="D561" s="425">
        <f>98.36+2520.19+40.1+116.5</f>
        <v>2775.15</v>
      </c>
      <c r="E561" s="307">
        <v>259</v>
      </c>
      <c r="F561" s="414">
        <f t="shared" ref="F561:F564" si="200">E561/D561*100</f>
        <v>9.33282885609787</v>
      </c>
      <c r="G561" s="346">
        <f t="shared" si="182"/>
        <v>-67.987</v>
      </c>
      <c r="H561" s="414">
        <f t="shared" ref="H561:H564" si="201">G561/C561*100</f>
        <v>-20.791958090077</v>
      </c>
      <c r="I561" s="420">
        <f>107.06+10+35.78</f>
        <v>152.84</v>
      </c>
      <c r="J561" s="307">
        <f t="shared" si="183"/>
        <v>-2622.31</v>
      </c>
      <c r="K561" s="306">
        <f t="shared" ref="K561:K564" si="202">J561/D561*100</f>
        <v>-94.4925499522548</v>
      </c>
      <c r="M561">
        <f t="shared" si="199"/>
        <v>0</v>
      </c>
      <c r="N561" s="415"/>
      <c r="O561" s="415"/>
      <c r="P561">
        <v>42</v>
      </c>
      <c r="Q561">
        <v>3</v>
      </c>
    </row>
    <row r="562" customFormat="1" ht="20" customHeight="1" spans="1:17">
      <c r="A562" s="416">
        <v>20809</v>
      </c>
      <c r="B562" s="427" t="s">
        <v>542</v>
      </c>
      <c r="C562" s="346">
        <f>SUM(C563:C568)</f>
        <v>242.900524</v>
      </c>
      <c r="D562" s="346">
        <f t="shared" ref="D562:I562" si="203">SUM(D563:D568)</f>
        <v>164.53</v>
      </c>
      <c r="E562" s="346">
        <f t="shared" si="203"/>
        <v>239</v>
      </c>
      <c r="F562" s="414">
        <f t="shared" si="200"/>
        <v>145.262262201422</v>
      </c>
      <c r="G562" s="346">
        <f t="shared" si="182"/>
        <v>-3.90052399999999</v>
      </c>
      <c r="H562" s="414">
        <f t="shared" si="201"/>
        <v>-1.60581127441289</v>
      </c>
      <c r="I562" s="346">
        <f t="shared" si="203"/>
        <v>163.092</v>
      </c>
      <c r="J562" s="307">
        <f t="shared" si="183"/>
        <v>-1.43799999999999</v>
      </c>
      <c r="K562" s="306">
        <f t="shared" si="202"/>
        <v>-0.874004740776751</v>
      </c>
      <c r="M562">
        <f t="shared" si="199"/>
        <v>0</v>
      </c>
      <c r="N562" s="415"/>
      <c r="O562" s="415"/>
    </row>
    <row r="563" customFormat="1" ht="20" customHeight="1" spans="1:17">
      <c r="A563" s="418">
        <v>2080901</v>
      </c>
      <c r="B563" s="239" t="s">
        <v>543</v>
      </c>
      <c r="C563" s="307">
        <v>202.2435</v>
      </c>
      <c r="D563" s="343">
        <v>140</v>
      </c>
      <c r="E563" s="307">
        <v>155</v>
      </c>
      <c r="F563" s="414">
        <f t="shared" si="200"/>
        <v>110.714285714286</v>
      </c>
      <c r="G563" s="346">
        <f t="shared" si="182"/>
        <v>-47.2435</v>
      </c>
      <c r="H563" s="414">
        <f t="shared" si="201"/>
        <v>-23.3597124258629</v>
      </c>
      <c r="I563" s="420">
        <f>28+135</f>
        <v>163</v>
      </c>
      <c r="J563" s="307">
        <f t="shared" si="183"/>
        <v>23</v>
      </c>
      <c r="K563" s="306">
        <f t="shared" si="202"/>
        <v>16.4285714285714</v>
      </c>
      <c r="M563">
        <f t="shared" si="199"/>
        <v>30</v>
      </c>
      <c r="N563" s="415">
        <v>30</v>
      </c>
      <c r="O563" s="415"/>
      <c r="P563">
        <v>140</v>
      </c>
    </row>
    <row r="564" customFormat="1" ht="20" customHeight="1" spans="1:17">
      <c r="A564" s="418">
        <v>2080902</v>
      </c>
      <c r="B564" s="239" t="s">
        <v>544</v>
      </c>
      <c r="C564" s="307">
        <v>12.362824</v>
      </c>
      <c r="D564" s="343">
        <v>0.03</v>
      </c>
      <c r="E564" s="307">
        <v>11</v>
      </c>
      <c r="F564" s="414">
        <f t="shared" si="200"/>
        <v>36666.6666666667</v>
      </c>
      <c r="G564" s="346">
        <f t="shared" si="182"/>
        <v>-1.362824</v>
      </c>
      <c r="H564" s="414">
        <f t="shared" si="201"/>
        <v>-11.0235654895678</v>
      </c>
      <c r="I564" s="343">
        <v>0.092</v>
      </c>
      <c r="J564" s="307">
        <f t="shared" si="183"/>
        <v>0.062</v>
      </c>
      <c r="K564" s="306">
        <f t="shared" si="202"/>
        <v>206.666666666667</v>
      </c>
      <c r="M564">
        <f t="shared" si="199"/>
        <v>0</v>
      </c>
      <c r="N564" s="415"/>
      <c r="O564" s="415"/>
      <c r="Q564">
        <v>1</v>
      </c>
    </row>
    <row r="565" customFormat="1" ht="20" customHeight="1" spans="1:17">
      <c r="A565" s="418">
        <v>2080903</v>
      </c>
      <c r="B565" s="239" t="s">
        <v>545</v>
      </c>
      <c r="C565" s="307">
        <v>0</v>
      </c>
      <c r="D565" s="343"/>
      <c r="E565" s="307">
        <v>6</v>
      </c>
      <c r="F565" s="414"/>
      <c r="G565" s="346">
        <f t="shared" si="182"/>
        <v>6</v>
      </c>
      <c r="H565" s="414"/>
      <c r="I565" s="343"/>
      <c r="J565" s="307">
        <f t="shared" si="183"/>
        <v>0</v>
      </c>
      <c r="K565" s="306"/>
      <c r="M565">
        <f t="shared" si="199"/>
        <v>0</v>
      </c>
      <c r="N565" s="415"/>
      <c r="O565" s="415"/>
      <c r="Q565">
        <v>5</v>
      </c>
    </row>
    <row r="566" customFormat="1" ht="20" customHeight="1" spans="1:17">
      <c r="A566" s="418">
        <v>2080904</v>
      </c>
      <c r="B566" s="239" t="s">
        <v>546</v>
      </c>
      <c r="C566" s="307">
        <v>0</v>
      </c>
      <c r="D566" s="343">
        <v>22</v>
      </c>
      <c r="E566" s="307">
        <v>38</v>
      </c>
      <c r="F566" s="414">
        <f t="shared" ref="F566:F571" si="204">E566/D566*100</f>
        <v>172.727272727273</v>
      </c>
      <c r="G566" s="346">
        <f t="shared" si="182"/>
        <v>38</v>
      </c>
      <c r="H566" s="414"/>
      <c r="I566" s="343"/>
      <c r="J566" s="307">
        <f t="shared" si="183"/>
        <v>-22</v>
      </c>
      <c r="K566" s="306">
        <f t="shared" ref="K566:K571" si="205">J566/D566*100</f>
        <v>-100</v>
      </c>
      <c r="M566">
        <f t="shared" si="199"/>
        <v>0</v>
      </c>
      <c r="N566" s="415"/>
      <c r="O566" s="415"/>
    </row>
    <row r="567" customFormat="1" ht="20" customHeight="1" spans="1:17">
      <c r="A567" s="418">
        <v>2080905</v>
      </c>
      <c r="B567" s="239" t="s">
        <v>547</v>
      </c>
      <c r="C567" s="307">
        <v>28.2942</v>
      </c>
      <c r="D567" s="425">
        <v>2.5</v>
      </c>
      <c r="E567" s="307">
        <v>29</v>
      </c>
      <c r="F567" s="414">
        <f t="shared" si="204"/>
        <v>1160</v>
      </c>
      <c r="G567" s="346">
        <f t="shared" si="182"/>
        <v>0.7058</v>
      </c>
      <c r="H567" s="414">
        <f t="shared" ref="H567:H571" si="206">G567/C567*100</f>
        <v>2.49450417400032</v>
      </c>
      <c r="I567" s="425"/>
      <c r="J567" s="307">
        <f t="shared" si="183"/>
        <v>-2.5</v>
      </c>
      <c r="K567" s="306">
        <f t="shared" si="205"/>
        <v>-100</v>
      </c>
      <c r="M567">
        <f t="shared" si="199"/>
        <v>0</v>
      </c>
      <c r="N567" s="415"/>
      <c r="O567" s="415"/>
      <c r="Q567">
        <v>2</v>
      </c>
    </row>
    <row r="568" customFormat="1" ht="20" customHeight="1" spans="1:17">
      <c r="A568" s="418">
        <v>2080999</v>
      </c>
      <c r="B568" s="239" t="s">
        <v>548</v>
      </c>
      <c r="C568" s="307">
        <v>0</v>
      </c>
      <c r="D568" s="343"/>
      <c r="E568" s="307">
        <v>0</v>
      </c>
      <c r="F568" s="414"/>
      <c r="G568" s="346">
        <f t="shared" si="182"/>
        <v>0</v>
      </c>
      <c r="H568" s="414"/>
      <c r="I568" s="343"/>
      <c r="J568" s="307">
        <f t="shared" si="183"/>
        <v>0</v>
      </c>
      <c r="K568" s="306"/>
      <c r="M568">
        <f t="shared" si="199"/>
        <v>0</v>
      </c>
      <c r="N568" s="415"/>
      <c r="O568" s="415"/>
    </row>
    <row r="569" customFormat="1" ht="20" customHeight="1" spans="1:17">
      <c r="A569" s="416">
        <v>20810</v>
      </c>
      <c r="B569" s="427" t="s">
        <v>549</v>
      </c>
      <c r="C569" s="346">
        <f>SUM(C570:C576)</f>
        <v>1154.53861</v>
      </c>
      <c r="D569" s="346">
        <f t="shared" ref="D569:I569" si="207">SUM(D570:D576)</f>
        <v>964.458682</v>
      </c>
      <c r="E569" s="346">
        <f t="shared" si="207"/>
        <v>1324</v>
      </c>
      <c r="F569" s="414">
        <f t="shared" si="204"/>
        <v>137.279079416281</v>
      </c>
      <c r="G569" s="346">
        <f t="shared" si="182"/>
        <v>169.46139</v>
      </c>
      <c r="H569" s="414">
        <f t="shared" si="206"/>
        <v>14.677845204328</v>
      </c>
      <c r="I569" s="346">
        <f t="shared" si="207"/>
        <v>1205.102414</v>
      </c>
      <c r="J569" s="307">
        <f t="shared" si="183"/>
        <v>240.643732</v>
      </c>
      <c r="K569" s="306">
        <f t="shared" si="205"/>
        <v>24.951170692038</v>
      </c>
      <c r="M569">
        <f t="shared" si="199"/>
        <v>0</v>
      </c>
      <c r="N569" s="415"/>
      <c r="O569" s="415"/>
    </row>
    <row r="570" customFormat="1" ht="20" customHeight="1" spans="1:17">
      <c r="A570" s="418">
        <v>2081001</v>
      </c>
      <c r="B570" s="239" t="s">
        <v>550</v>
      </c>
      <c r="C570" s="307">
        <v>214.1167</v>
      </c>
      <c r="D570" s="425">
        <v>51.4</v>
      </c>
      <c r="E570" s="307">
        <v>224</v>
      </c>
      <c r="F570" s="414">
        <f t="shared" si="204"/>
        <v>435.79766536965</v>
      </c>
      <c r="G570" s="346">
        <f t="shared" si="182"/>
        <v>9.88329999999999</v>
      </c>
      <c r="H570" s="414">
        <f t="shared" si="206"/>
        <v>4.61584733932477</v>
      </c>
      <c r="I570" s="420">
        <f>49+50</f>
        <v>99</v>
      </c>
      <c r="J570" s="307">
        <f t="shared" si="183"/>
        <v>47.6</v>
      </c>
      <c r="K570" s="306">
        <f t="shared" si="205"/>
        <v>92.6070038910506</v>
      </c>
      <c r="M570">
        <f t="shared" si="199"/>
        <v>37</v>
      </c>
      <c r="N570" s="415">
        <v>37</v>
      </c>
      <c r="O570" s="415"/>
      <c r="P570">
        <v>115</v>
      </c>
    </row>
    <row r="571" customFormat="1" ht="20" customHeight="1" spans="1:17">
      <c r="A571" s="418">
        <v>2081002</v>
      </c>
      <c r="B571" s="239" t="s">
        <v>551</v>
      </c>
      <c r="C571" s="307">
        <v>779.7083</v>
      </c>
      <c r="D571" s="425">
        <v>800</v>
      </c>
      <c r="E571" s="307">
        <v>925</v>
      </c>
      <c r="F571" s="414">
        <f t="shared" si="204"/>
        <v>115.625</v>
      </c>
      <c r="G571" s="346">
        <f t="shared" si="182"/>
        <v>145.2917</v>
      </c>
      <c r="H571" s="414">
        <f t="shared" si="206"/>
        <v>18.634109704873</v>
      </c>
      <c r="I571" s="420">
        <f>816+100</f>
        <v>916</v>
      </c>
      <c r="J571" s="307">
        <f t="shared" si="183"/>
        <v>116</v>
      </c>
      <c r="K571" s="306">
        <f t="shared" si="205"/>
        <v>14.5</v>
      </c>
      <c r="M571">
        <f t="shared" si="199"/>
        <v>797</v>
      </c>
      <c r="N571" s="415">
        <v>797</v>
      </c>
      <c r="O571" s="415"/>
      <c r="Q571">
        <v>35</v>
      </c>
    </row>
    <row r="572" customFormat="1" ht="20" customHeight="1" spans="1:17">
      <c r="A572" s="418">
        <v>2081003</v>
      </c>
      <c r="B572" s="239" t="s">
        <v>552</v>
      </c>
      <c r="C572" s="307">
        <v>0</v>
      </c>
      <c r="D572" s="343"/>
      <c r="E572" s="307">
        <v>0</v>
      </c>
      <c r="F572" s="414"/>
      <c r="G572" s="346">
        <f t="shared" si="182"/>
        <v>0</v>
      </c>
      <c r="H572" s="414"/>
      <c r="I572" s="343"/>
      <c r="J572" s="307">
        <f t="shared" si="183"/>
        <v>0</v>
      </c>
      <c r="K572" s="306"/>
      <c r="M572">
        <f t="shared" si="199"/>
        <v>0</v>
      </c>
      <c r="N572" s="415"/>
      <c r="O572" s="415"/>
    </row>
    <row r="573" customFormat="1" ht="20" customHeight="1" spans="1:17">
      <c r="A573" s="418">
        <v>2081004</v>
      </c>
      <c r="B573" s="239" t="s">
        <v>553</v>
      </c>
      <c r="C573" s="307">
        <v>122.199798</v>
      </c>
      <c r="D573" s="425">
        <v>71.063381</v>
      </c>
      <c r="E573" s="307">
        <v>129</v>
      </c>
      <c r="F573" s="414">
        <f t="shared" ref="F573:F578" si="208">E573/D573*100</f>
        <v>181.528092506603</v>
      </c>
      <c r="G573" s="346">
        <f t="shared" si="182"/>
        <v>6.800202</v>
      </c>
      <c r="H573" s="414">
        <f t="shared" ref="H573:H578" si="209">G573/C573*100</f>
        <v>5.56482261942855</v>
      </c>
      <c r="I573" s="425">
        <v>145.74</v>
      </c>
      <c r="J573" s="307">
        <f t="shared" si="183"/>
        <v>74.676619</v>
      </c>
      <c r="K573" s="306">
        <f t="shared" ref="K573:K578" si="210">J573/D573*100</f>
        <v>105.084528696995</v>
      </c>
      <c r="M573">
        <f t="shared" si="199"/>
        <v>102</v>
      </c>
      <c r="N573" s="415">
        <v>102</v>
      </c>
      <c r="O573" s="415"/>
    </row>
    <row r="574" customFormat="1" ht="20" customHeight="1" spans="1:17">
      <c r="A574" s="418">
        <v>2081005</v>
      </c>
      <c r="B574" s="239" t="s">
        <v>554</v>
      </c>
      <c r="C574" s="307">
        <v>38.513812</v>
      </c>
      <c r="D574" s="425">
        <v>40.995301</v>
      </c>
      <c r="E574" s="307">
        <v>45</v>
      </c>
      <c r="F574" s="414">
        <f t="shared" si="208"/>
        <v>109.768678122402</v>
      </c>
      <c r="G574" s="346">
        <f t="shared" si="182"/>
        <v>6.486188</v>
      </c>
      <c r="H574" s="414">
        <f t="shared" si="209"/>
        <v>16.8411997233616</v>
      </c>
      <c r="I574" s="420">
        <v>44.362414</v>
      </c>
      <c r="J574" s="307">
        <f t="shared" si="183"/>
        <v>3.367113</v>
      </c>
      <c r="K574" s="306">
        <f t="shared" si="210"/>
        <v>8.21341206886127</v>
      </c>
      <c r="M574">
        <f t="shared" si="199"/>
        <v>53</v>
      </c>
      <c r="N574" s="415">
        <v>53</v>
      </c>
      <c r="O574" s="415"/>
    </row>
    <row r="575" customFormat="1" ht="20" customHeight="1" spans="1:17">
      <c r="A575" s="418">
        <v>2081006</v>
      </c>
      <c r="B575" s="239" t="s">
        <v>555</v>
      </c>
      <c r="C575" s="307">
        <v>0</v>
      </c>
      <c r="D575" s="343"/>
      <c r="E575" s="307">
        <v>0</v>
      </c>
      <c r="F575" s="414"/>
      <c r="G575" s="346">
        <f t="shared" si="182"/>
        <v>0</v>
      </c>
      <c r="H575" s="414"/>
      <c r="I575" s="343"/>
      <c r="J575" s="307">
        <f t="shared" si="183"/>
        <v>0</v>
      </c>
      <c r="K575" s="306"/>
      <c r="M575">
        <f t="shared" si="199"/>
        <v>0</v>
      </c>
      <c r="N575" s="415"/>
      <c r="O575" s="415"/>
    </row>
    <row r="576" customFormat="1" ht="20" customHeight="1" spans="1:17">
      <c r="A576" s="418">
        <v>2081099</v>
      </c>
      <c r="B576" s="239" t="s">
        <v>556</v>
      </c>
      <c r="C576" s="307">
        <v>0</v>
      </c>
      <c r="D576" s="425">
        <v>1</v>
      </c>
      <c r="E576" s="307">
        <v>1</v>
      </c>
      <c r="F576" s="414">
        <f t="shared" si="208"/>
        <v>100</v>
      </c>
      <c r="G576" s="346">
        <f t="shared" si="182"/>
        <v>1</v>
      </c>
      <c r="H576" s="414"/>
      <c r="I576" s="425"/>
      <c r="J576" s="307">
        <f t="shared" si="183"/>
        <v>-1</v>
      </c>
      <c r="K576" s="306">
        <f t="shared" si="210"/>
        <v>-100</v>
      </c>
      <c r="M576">
        <f t="shared" si="199"/>
        <v>0</v>
      </c>
      <c r="N576" s="415"/>
      <c r="O576" s="415"/>
    </row>
    <row r="577" customFormat="1" ht="20" customHeight="1" spans="1:17">
      <c r="A577" s="416">
        <v>20811</v>
      </c>
      <c r="B577" s="427" t="s">
        <v>557</v>
      </c>
      <c r="C577" s="346">
        <f>SUM(C578:C585)</f>
        <v>1538.209946</v>
      </c>
      <c r="D577" s="346">
        <f t="shared" ref="D577:I577" si="211">SUM(D578:D585)</f>
        <v>394.312194</v>
      </c>
      <c r="E577" s="346">
        <f t="shared" si="211"/>
        <v>1650</v>
      </c>
      <c r="F577" s="414">
        <f t="shared" si="208"/>
        <v>418.450158302738</v>
      </c>
      <c r="G577" s="346">
        <f t="shared" si="182"/>
        <v>111.790054</v>
      </c>
      <c r="H577" s="414">
        <f t="shared" si="209"/>
        <v>7.26754200820905</v>
      </c>
      <c r="I577" s="346">
        <f t="shared" si="211"/>
        <v>1473.046629</v>
      </c>
      <c r="J577" s="307">
        <f t="shared" si="183"/>
        <v>1078.734435</v>
      </c>
      <c r="K577" s="306">
        <f t="shared" si="210"/>
        <v>273.573693995373</v>
      </c>
      <c r="M577">
        <f t="shared" si="199"/>
        <v>0</v>
      </c>
      <c r="N577" s="415"/>
      <c r="O577" s="415"/>
    </row>
    <row r="578" customFormat="1" ht="20" customHeight="1" spans="1:17">
      <c r="A578" s="418">
        <v>2081101</v>
      </c>
      <c r="B578" s="239" t="s">
        <v>165</v>
      </c>
      <c r="C578" s="307">
        <v>79.723177</v>
      </c>
      <c r="D578" s="425">
        <v>76.104394</v>
      </c>
      <c r="E578" s="307">
        <v>71</v>
      </c>
      <c r="F578" s="414">
        <f t="shared" si="208"/>
        <v>93.2929050062471</v>
      </c>
      <c r="G578" s="346">
        <f t="shared" si="182"/>
        <v>-8.72317700000001</v>
      </c>
      <c r="H578" s="414">
        <f t="shared" si="209"/>
        <v>-10.941833138436</v>
      </c>
      <c r="I578" s="420">
        <v>50.782289</v>
      </c>
      <c r="J578" s="307">
        <f t="shared" si="183"/>
        <v>-25.322105</v>
      </c>
      <c r="K578" s="306">
        <f t="shared" si="210"/>
        <v>-33.272855441172</v>
      </c>
      <c r="M578">
        <f t="shared" si="199"/>
        <v>77</v>
      </c>
      <c r="N578" s="415">
        <v>77</v>
      </c>
      <c r="O578" s="415"/>
    </row>
    <row r="579" customFormat="1" ht="20" customHeight="1" spans="1:17">
      <c r="A579" s="418">
        <v>2081102</v>
      </c>
      <c r="B579" s="239" t="s">
        <v>166</v>
      </c>
      <c r="C579" s="307">
        <v>0</v>
      </c>
      <c r="D579" s="343"/>
      <c r="E579" s="307">
        <v>0</v>
      </c>
      <c r="F579" s="414"/>
      <c r="G579" s="346">
        <f t="shared" si="182"/>
        <v>0</v>
      </c>
      <c r="H579" s="414"/>
      <c r="I579" s="343"/>
      <c r="J579" s="307">
        <f t="shared" si="183"/>
        <v>0</v>
      </c>
      <c r="K579" s="306"/>
      <c r="M579">
        <f t="shared" si="199"/>
        <v>0</v>
      </c>
      <c r="N579" s="415"/>
      <c r="O579" s="415"/>
    </row>
    <row r="580" customFormat="1" ht="20" customHeight="1" spans="1:17">
      <c r="A580" s="418">
        <v>2081103</v>
      </c>
      <c r="B580" s="239" t="s">
        <v>167</v>
      </c>
      <c r="C580" s="307">
        <v>0</v>
      </c>
      <c r="D580" s="343"/>
      <c r="E580" s="307">
        <v>0</v>
      </c>
      <c r="F580" s="414"/>
      <c r="G580" s="346">
        <f t="shared" si="182"/>
        <v>0</v>
      </c>
      <c r="H580" s="414"/>
      <c r="I580" s="343"/>
      <c r="J580" s="307">
        <f t="shared" si="183"/>
        <v>0</v>
      </c>
      <c r="K580" s="306"/>
      <c r="M580">
        <f t="shared" si="199"/>
        <v>0</v>
      </c>
      <c r="N580" s="415"/>
      <c r="O580" s="415"/>
    </row>
    <row r="581" customFormat="1" ht="20" customHeight="1" spans="1:17">
      <c r="A581" s="418">
        <v>2081104</v>
      </c>
      <c r="B581" s="239" t="s">
        <v>558</v>
      </c>
      <c r="C581" s="307">
        <v>304.665667</v>
      </c>
      <c r="D581" s="343"/>
      <c r="E581" s="307">
        <v>350</v>
      </c>
      <c r="F581" s="414"/>
      <c r="G581" s="346">
        <f t="shared" si="182"/>
        <v>45.334333</v>
      </c>
      <c r="H581" s="414">
        <f t="shared" ref="H581:H587" si="212">G581/C581*100</f>
        <v>14.8800268328233</v>
      </c>
      <c r="I581" s="343">
        <f>0.0071+58.449+8.7</f>
        <v>67.1561</v>
      </c>
      <c r="J581" s="307">
        <f t="shared" si="183"/>
        <v>67.1561</v>
      </c>
      <c r="K581" s="306"/>
      <c r="M581">
        <f t="shared" si="199"/>
        <v>1</v>
      </c>
      <c r="N581" s="415">
        <v>1</v>
      </c>
      <c r="O581" s="415"/>
      <c r="P581">
        <v>8</v>
      </c>
      <c r="Q581">
        <v>317</v>
      </c>
    </row>
    <row r="582" customFormat="1" ht="20" customHeight="1" spans="1:17">
      <c r="A582" s="418">
        <v>2081105</v>
      </c>
      <c r="B582" s="239" t="s">
        <v>559</v>
      </c>
      <c r="C582" s="307">
        <v>204.574219</v>
      </c>
      <c r="D582" s="425">
        <v>2.78</v>
      </c>
      <c r="E582" s="307">
        <v>193</v>
      </c>
      <c r="F582" s="414">
        <f t="shared" ref="F582:F587" si="213">E582/D582*100</f>
        <v>6942.44604316547</v>
      </c>
      <c r="G582" s="346">
        <f t="shared" ref="G582:G645" si="214">E582-C582</f>
        <v>-11.574219</v>
      </c>
      <c r="H582" s="414">
        <f t="shared" si="212"/>
        <v>-5.65771144407986</v>
      </c>
      <c r="I582" s="420">
        <f>44.684+66.05</f>
        <v>110.734</v>
      </c>
      <c r="J582" s="307">
        <f t="shared" ref="J582:J645" si="215">I582-D582</f>
        <v>107.954</v>
      </c>
      <c r="K582" s="306">
        <f t="shared" ref="K582:K587" si="216">J582/D582*100</f>
        <v>3883.23741007194</v>
      </c>
      <c r="M582">
        <f t="shared" si="199"/>
        <v>2</v>
      </c>
      <c r="N582" s="415">
        <v>2</v>
      </c>
      <c r="O582" s="415"/>
      <c r="P582">
        <v>103</v>
      </c>
      <c r="Q582">
        <v>47</v>
      </c>
    </row>
    <row r="583" customFormat="1" ht="20" customHeight="1" spans="1:17">
      <c r="A583" s="418">
        <v>2081106</v>
      </c>
      <c r="B583" s="239" t="s">
        <v>560</v>
      </c>
      <c r="C583" s="307">
        <v>0</v>
      </c>
      <c r="D583" s="343"/>
      <c r="E583" s="307">
        <v>0</v>
      </c>
      <c r="F583" s="414"/>
      <c r="G583" s="346">
        <f t="shared" si="214"/>
        <v>0</v>
      </c>
      <c r="H583" s="414"/>
      <c r="I583" s="343"/>
      <c r="J583" s="307">
        <f t="shared" si="215"/>
        <v>0</v>
      </c>
      <c r="K583" s="306"/>
      <c r="M583">
        <f t="shared" si="199"/>
        <v>0</v>
      </c>
      <c r="N583" s="415"/>
      <c r="O583" s="415"/>
    </row>
    <row r="584" s="278" customFormat="1" ht="20" customHeight="1" spans="1:17">
      <c r="A584" s="418">
        <v>2081107</v>
      </c>
      <c r="B584" s="433" t="s">
        <v>561</v>
      </c>
      <c r="C584" s="307">
        <v>789.848</v>
      </c>
      <c r="D584" s="425">
        <v>264</v>
      </c>
      <c r="E584" s="307">
        <v>922</v>
      </c>
      <c r="F584" s="414">
        <f t="shared" si="213"/>
        <v>349.242424242424</v>
      </c>
      <c r="G584" s="346">
        <f t="shared" si="214"/>
        <v>132.152</v>
      </c>
      <c r="H584" s="414">
        <f t="shared" si="212"/>
        <v>16.7313204565942</v>
      </c>
      <c r="I584" s="420">
        <f>340+800</f>
        <v>1140</v>
      </c>
      <c r="J584" s="307">
        <f t="shared" si="215"/>
        <v>876</v>
      </c>
      <c r="K584" s="306">
        <f t="shared" si="216"/>
        <v>331.818181818182</v>
      </c>
      <c r="M584" s="278">
        <f t="shared" si="199"/>
        <v>150</v>
      </c>
      <c r="N584" s="415">
        <v>150</v>
      </c>
      <c r="O584" s="415"/>
      <c r="P584" s="278">
        <v>420</v>
      </c>
    </row>
    <row r="585" customFormat="1" ht="20" customHeight="1" spans="1:17">
      <c r="A585" s="418">
        <v>2081199</v>
      </c>
      <c r="B585" s="239" t="s">
        <v>562</v>
      </c>
      <c r="C585" s="307">
        <v>159.398883</v>
      </c>
      <c r="D585" s="425">
        <f>22.8138+28.614</f>
        <v>51.4278</v>
      </c>
      <c r="E585" s="307">
        <v>114</v>
      </c>
      <c r="F585" s="414">
        <f t="shared" si="213"/>
        <v>221.669991716542</v>
      </c>
      <c r="G585" s="346">
        <f t="shared" si="214"/>
        <v>-45.398883</v>
      </c>
      <c r="H585" s="414">
        <f t="shared" si="212"/>
        <v>-28.4813056061378</v>
      </c>
      <c r="I585" s="420">
        <f>80.41424+23.96</f>
        <v>104.37424</v>
      </c>
      <c r="J585" s="307">
        <f t="shared" si="215"/>
        <v>52.94644</v>
      </c>
      <c r="K585" s="306">
        <f t="shared" si="216"/>
        <v>102.952955405442</v>
      </c>
      <c r="M585">
        <f t="shared" si="199"/>
        <v>42</v>
      </c>
      <c r="N585" s="415">
        <v>42</v>
      </c>
      <c r="O585" s="415"/>
      <c r="P585">
        <v>35</v>
      </c>
    </row>
    <row r="586" customFormat="1" ht="20" customHeight="1" spans="1:17">
      <c r="A586" s="416">
        <v>20816</v>
      </c>
      <c r="B586" s="427" t="s">
        <v>563</v>
      </c>
      <c r="C586" s="371">
        <f>SUM(C587:C590)</f>
        <v>50.837738</v>
      </c>
      <c r="D586" s="371">
        <f t="shared" ref="D586:I586" si="217">SUM(D587:D590)</f>
        <v>56.972279</v>
      </c>
      <c r="E586" s="371">
        <f t="shared" si="217"/>
        <v>58</v>
      </c>
      <c r="F586" s="414">
        <f t="shared" si="213"/>
        <v>101.803896593289</v>
      </c>
      <c r="G586" s="346">
        <f t="shared" si="214"/>
        <v>7.162262</v>
      </c>
      <c r="H586" s="414">
        <f t="shared" si="212"/>
        <v>14.0884749828956</v>
      </c>
      <c r="I586" s="371">
        <f t="shared" si="217"/>
        <v>55.149589</v>
      </c>
      <c r="J586" s="307">
        <f t="shared" si="215"/>
        <v>-1.82269</v>
      </c>
      <c r="K586" s="306">
        <f t="shared" si="216"/>
        <v>-3.19925766002796</v>
      </c>
      <c r="M586">
        <f t="shared" si="199"/>
        <v>0</v>
      </c>
      <c r="N586" s="415"/>
      <c r="O586" s="415"/>
    </row>
    <row r="587" customFormat="1" ht="20" customHeight="1" spans="1:17">
      <c r="A587" s="418">
        <v>2081601</v>
      </c>
      <c r="B587" s="239" t="s">
        <v>165</v>
      </c>
      <c r="C587" s="307">
        <v>50.837738</v>
      </c>
      <c r="D587" s="425">
        <v>56.172279</v>
      </c>
      <c r="E587" s="307">
        <v>57</v>
      </c>
      <c r="F587" s="414">
        <f t="shared" si="213"/>
        <v>101.473540000042</v>
      </c>
      <c r="G587" s="346">
        <f t="shared" si="214"/>
        <v>6.162262</v>
      </c>
      <c r="H587" s="414">
        <f t="shared" si="212"/>
        <v>12.1214323107767</v>
      </c>
      <c r="I587" s="420">
        <v>54.149589</v>
      </c>
      <c r="J587" s="307">
        <f t="shared" si="215"/>
        <v>-2.02269</v>
      </c>
      <c r="K587" s="306">
        <f t="shared" si="216"/>
        <v>-3.60086867759096</v>
      </c>
      <c r="M587">
        <f t="shared" si="199"/>
        <v>51</v>
      </c>
      <c r="N587" s="415">
        <v>51</v>
      </c>
      <c r="O587" s="415"/>
    </row>
    <row r="588" customFormat="1" ht="20" customHeight="1" spans="1:17">
      <c r="A588" s="418">
        <v>2081602</v>
      </c>
      <c r="B588" s="239" t="s">
        <v>166</v>
      </c>
      <c r="C588" s="307">
        <v>0</v>
      </c>
      <c r="D588" s="343"/>
      <c r="E588" s="307">
        <v>0</v>
      </c>
      <c r="F588" s="414"/>
      <c r="G588" s="346">
        <f t="shared" si="214"/>
        <v>0</v>
      </c>
      <c r="H588" s="414"/>
      <c r="I588" s="343"/>
      <c r="J588" s="307">
        <f t="shared" si="215"/>
        <v>0</v>
      </c>
      <c r="K588" s="306"/>
      <c r="M588">
        <f t="shared" si="199"/>
        <v>0</v>
      </c>
      <c r="N588" s="415"/>
      <c r="O588" s="415"/>
    </row>
    <row r="589" customFormat="1" ht="20" customHeight="1" spans="1:17">
      <c r="A589" s="418">
        <v>2081603</v>
      </c>
      <c r="B589" s="239" t="s">
        <v>167</v>
      </c>
      <c r="C589" s="307">
        <v>0</v>
      </c>
      <c r="D589" s="343"/>
      <c r="E589" s="307">
        <v>0</v>
      </c>
      <c r="F589" s="414"/>
      <c r="G589" s="346">
        <f t="shared" si="214"/>
        <v>0</v>
      </c>
      <c r="H589" s="414"/>
      <c r="I589" s="343"/>
      <c r="J589" s="307">
        <f t="shared" si="215"/>
        <v>0</v>
      </c>
      <c r="K589" s="306"/>
      <c r="M589">
        <f t="shared" si="199"/>
        <v>0</v>
      </c>
      <c r="N589" s="415"/>
      <c r="O589" s="415"/>
    </row>
    <row r="590" customFormat="1" ht="20" customHeight="1" spans="1:17">
      <c r="A590" s="418">
        <v>2081699</v>
      </c>
      <c r="B590" s="239" t="s">
        <v>564</v>
      </c>
      <c r="C590" s="307">
        <v>0</v>
      </c>
      <c r="D590" s="343">
        <v>0.8</v>
      </c>
      <c r="E590" s="307">
        <v>1</v>
      </c>
      <c r="F590" s="414">
        <f t="shared" ref="F590:F595" si="218">E590/D590*100</f>
        <v>125</v>
      </c>
      <c r="G590" s="346">
        <f t="shared" si="214"/>
        <v>1</v>
      </c>
      <c r="H590" s="414"/>
      <c r="I590" s="343">
        <v>1</v>
      </c>
      <c r="J590" s="307">
        <f t="shared" si="215"/>
        <v>0.2</v>
      </c>
      <c r="K590" s="306">
        <f t="shared" ref="K590:K595" si="219">J590/D590*100</f>
        <v>25</v>
      </c>
      <c r="M590">
        <f t="shared" si="199"/>
        <v>0</v>
      </c>
      <c r="N590" s="415"/>
      <c r="O590" s="415"/>
    </row>
    <row r="591" customFormat="1" ht="20" customHeight="1" spans="1:17">
      <c r="A591" s="416">
        <v>20819</v>
      </c>
      <c r="B591" s="427" t="s">
        <v>565</v>
      </c>
      <c r="C591" s="346">
        <f>SUM(C592:C593)</f>
        <v>4238.8033</v>
      </c>
      <c r="D591" s="346">
        <f t="shared" ref="D591:I591" si="220">SUM(D592:D593)</f>
        <v>929.9814</v>
      </c>
      <c r="E591" s="346">
        <f t="shared" si="220"/>
        <v>4259</v>
      </c>
      <c r="F591" s="414">
        <f t="shared" si="218"/>
        <v>457.966148570283</v>
      </c>
      <c r="G591" s="346">
        <f t="shared" si="214"/>
        <v>20.1966999999995</v>
      </c>
      <c r="H591" s="414">
        <f t="shared" ref="H591:H599" si="221">G591/C591*100</f>
        <v>0.476471743805604</v>
      </c>
      <c r="I591" s="346">
        <f t="shared" si="220"/>
        <v>1582</v>
      </c>
      <c r="J591" s="307">
        <f t="shared" si="215"/>
        <v>652.0186</v>
      </c>
      <c r="K591" s="306">
        <f t="shared" si="219"/>
        <v>70.1109291003024</v>
      </c>
      <c r="M591">
        <f t="shared" si="199"/>
        <v>0</v>
      </c>
      <c r="N591" s="415"/>
      <c r="O591" s="415"/>
    </row>
    <row r="592" s="278" customFormat="1" ht="20" customHeight="1" spans="1:17">
      <c r="A592" s="418">
        <v>2081901</v>
      </c>
      <c r="B592" s="422" t="s">
        <v>566</v>
      </c>
      <c r="C592" s="307">
        <v>767.486</v>
      </c>
      <c r="D592" s="425">
        <v>166</v>
      </c>
      <c r="E592" s="307">
        <v>779</v>
      </c>
      <c r="F592" s="414">
        <f t="shared" si="218"/>
        <v>469.277108433735</v>
      </c>
      <c r="G592" s="346">
        <f t="shared" si="214"/>
        <v>11.514</v>
      </c>
      <c r="H592" s="414">
        <f t="shared" si="221"/>
        <v>1.50022280536713</v>
      </c>
      <c r="I592" s="420">
        <f>162+100</f>
        <v>262</v>
      </c>
      <c r="J592" s="307">
        <f t="shared" si="215"/>
        <v>96</v>
      </c>
      <c r="K592" s="306">
        <f t="shared" si="219"/>
        <v>57.8313253012048</v>
      </c>
      <c r="M592" s="278">
        <f t="shared" si="199"/>
        <v>156</v>
      </c>
      <c r="N592" s="415">
        <v>156</v>
      </c>
      <c r="O592" s="415"/>
      <c r="P592" s="278">
        <v>425</v>
      </c>
    </row>
    <row r="593" s="278" customFormat="1" ht="20" customHeight="1" spans="1:17">
      <c r="A593" s="418">
        <v>2081902</v>
      </c>
      <c r="B593" s="422" t="s">
        <v>567</v>
      </c>
      <c r="C593" s="307">
        <v>3471.3173</v>
      </c>
      <c r="D593" s="425">
        <f>700+63.9814</f>
        <v>763.9814</v>
      </c>
      <c r="E593" s="307">
        <v>3480</v>
      </c>
      <c r="F593" s="414">
        <f t="shared" si="218"/>
        <v>455.508471803109</v>
      </c>
      <c r="G593" s="346">
        <f t="shared" si="214"/>
        <v>8.68269999999984</v>
      </c>
      <c r="H593" s="414">
        <f t="shared" si="221"/>
        <v>0.250126947484744</v>
      </c>
      <c r="I593" s="420">
        <f>720+600</f>
        <v>1320</v>
      </c>
      <c r="J593" s="307">
        <f t="shared" si="215"/>
        <v>556.0186</v>
      </c>
      <c r="K593" s="306">
        <f t="shared" si="219"/>
        <v>72.7790755115242</v>
      </c>
      <c r="M593" s="278">
        <f t="shared" si="199"/>
        <v>710</v>
      </c>
      <c r="N593" s="415">
        <v>710</v>
      </c>
      <c r="O593" s="415"/>
      <c r="P593" s="278">
        <v>1960</v>
      </c>
    </row>
    <row r="594" customFormat="1" ht="20" customHeight="1" spans="1:17">
      <c r="A594" s="416">
        <v>20820</v>
      </c>
      <c r="B594" s="427" t="s">
        <v>568</v>
      </c>
      <c r="C594" s="346">
        <f>SUM(C595:C596)</f>
        <v>95.840428</v>
      </c>
      <c r="D594" s="346">
        <f t="shared" ref="D594:I594" si="222">SUM(D595:D596)</f>
        <v>17.8</v>
      </c>
      <c r="E594" s="346">
        <f t="shared" si="222"/>
        <v>96</v>
      </c>
      <c r="F594" s="414">
        <f t="shared" si="218"/>
        <v>539.325842696629</v>
      </c>
      <c r="G594" s="346">
        <f t="shared" si="214"/>
        <v>0.159571999999997</v>
      </c>
      <c r="H594" s="414">
        <f t="shared" si="221"/>
        <v>0.166497587009938</v>
      </c>
      <c r="I594" s="346">
        <f t="shared" si="222"/>
        <v>64.5</v>
      </c>
      <c r="J594" s="307">
        <f t="shared" si="215"/>
        <v>46.7</v>
      </c>
      <c r="K594" s="306">
        <f t="shared" si="219"/>
        <v>262.359550561798</v>
      </c>
      <c r="M594">
        <f t="shared" si="199"/>
        <v>0</v>
      </c>
      <c r="N594" s="415"/>
      <c r="O594" s="415"/>
    </row>
    <row r="595" s="278" customFormat="1" ht="20" customHeight="1" spans="1:17">
      <c r="A595" s="418">
        <v>2082001</v>
      </c>
      <c r="B595" s="422" t="s">
        <v>569</v>
      </c>
      <c r="C595" s="331">
        <v>71.0543</v>
      </c>
      <c r="D595" s="425">
        <v>17.8</v>
      </c>
      <c r="E595" s="331">
        <v>86</v>
      </c>
      <c r="F595" s="414">
        <f t="shared" si="218"/>
        <v>483.14606741573</v>
      </c>
      <c r="G595" s="346">
        <f t="shared" si="214"/>
        <v>14.9457</v>
      </c>
      <c r="H595" s="414">
        <f t="shared" si="221"/>
        <v>21.0341949748291</v>
      </c>
      <c r="I595" s="420">
        <f>31.5+30</f>
        <v>61.5</v>
      </c>
      <c r="J595" s="307">
        <f t="shared" si="215"/>
        <v>43.7</v>
      </c>
      <c r="K595" s="306">
        <f t="shared" si="219"/>
        <v>245.505617977528</v>
      </c>
      <c r="M595" s="278">
        <f t="shared" si="199"/>
        <v>15</v>
      </c>
      <c r="N595" s="415">
        <v>15</v>
      </c>
      <c r="O595" s="415"/>
      <c r="P595" s="278">
        <v>70</v>
      </c>
      <c r="Q595" s="278">
        <v>11</v>
      </c>
    </row>
    <row r="596" s="278" customFormat="1" ht="20" customHeight="1" spans="1:17">
      <c r="A596" s="418">
        <v>2082002</v>
      </c>
      <c r="B596" s="422" t="s">
        <v>570</v>
      </c>
      <c r="C596" s="331">
        <v>24.786128</v>
      </c>
      <c r="D596" s="343"/>
      <c r="E596" s="331">
        <v>10</v>
      </c>
      <c r="F596" s="414"/>
      <c r="G596" s="346">
        <f t="shared" si="214"/>
        <v>-14.786128</v>
      </c>
      <c r="H596" s="414">
        <f t="shared" si="221"/>
        <v>-59.654852101143</v>
      </c>
      <c r="I596" s="343">
        <v>3</v>
      </c>
      <c r="J596" s="307">
        <f t="shared" si="215"/>
        <v>3</v>
      </c>
      <c r="K596" s="306"/>
      <c r="M596" s="278">
        <f t="shared" si="199"/>
        <v>0</v>
      </c>
      <c r="N596" s="415"/>
      <c r="O596" s="415"/>
      <c r="P596" s="278">
        <v>60</v>
      </c>
    </row>
    <row r="597" customFormat="1" ht="20" customHeight="1" spans="1:17">
      <c r="A597" s="416">
        <v>20821</v>
      </c>
      <c r="B597" s="427" t="s">
        <v>571</v>
      </c>
      <c r="C597" s="346">
        <f>SUM(C598:C599)</f>
        <v>2958.065832</v>
      </c>
      <c r="D597" s="346">
        <f t="shared" ref="D597:I597" si="223">SUM(D598:D599)</f>
        <v>1100.8</v>
      </c>
      <c r="E597" s="346">
        <f t="shared" si="223"/>
        <v>3332</v>
      </c>
      <c r="F597" s="414">
        <f t="shared" ref="F597:F599" si="224">E597/D597*100</f>
        <v>302.688953488372</v>
      </c>
      <c r="G597" s="346">
        <f t="shared" si="214"/>
        <v>373.934168</v>
      </c>
      <c r="H597" s="414">
        <f t="shared" si="221"/>
        <v>12.6411712665359</v>
      </c>
      <c r="I597" s="346">
        <f t="shared" si="223"/>
        <v>1892.5</v>
      </c>
      <c r="J597" s="307">
        <f t="shared" si="215"/>
        <v>791.7</v>
      </c>
      <c r="K597" s="306">
        <f t="shared" ref="K597:K599" si="225">J597/D597*100</f>
        <v>71.9204215116279</v>
      </c>
      <c r="M597">
        <f t="shared" si="199"/>
        <v>0</v>
      </c>
      <c r="N597" s="415"/>
      <c r="O597" s="415"/>
    </row>
    <row r="598" s="278" customFormat="1" ht="20" customHeight="1" spans="1:17">
      <c r="A598" s="418">
        <v>2082101</v>
      </c>
      <c r="B598" s="422" t="s">
        <v>572</v>
      </c>
      <c r="C598" s="331">
        <v>646.04764</v>
      </c>
      <c r="D598" s="425">
        <v>216.3</v>
      </c>
      <c r="E598" s="331">
        <v>766</v>
      </c>
      <c r="F598" s="414">
        <f t="shared" si="224"/>
        <v>354.1377716135</v>
      </c>
      <c r="G598" s="346">
        <f t="shared" si="214"/>
        <v>119.95236</v>
      </c>
      <c r="H598" s="414">
        <f t="shared" si="221"/>
        <v>18.5671075278597</v>
      </c>
      <c r="I598" s="420">
        <f>283.5+150</f>
        <v>433.5</v>
      </c>
      <c r="J598" s="307">
        <f t="shared" si="215"/>
        <v>217.2</v>
      </c>
      <c r="K598" s="306">
        <f t="shared" si="225"/>
        <v>100.416088765603</v>
      </c>
      <c r="M598" s="278">
        <f t="shared" si="199"/>
        <v>212</v>
      </c>
      <c r="N598" s="415">
        <v>212</v>
      </c>
      <c r="O598" s="415"/>
      <c r="P598" s="278">
        <v>310</v>
      </c>
    </row>
    <row r="599" s="278" customFormat="1" ht="20" customHeight="1" spans="1:17">
      <c r="A599" s="418">
        <v>2082102</v>
      </c>
      <c r="B599" s="422" t="s">
        <v>573</v>
      </c>
      <c r="C599" s="307">
        <v>2312.018192</v>
      </c>
      <c r="D599" s="425">
        <v>884.5</v>
      </c>
      <c r="E599" s="307">
        <v>2566</v>
      </c>
      <c r="F599" s="414">
        <f t="shared" si="224"/>
        <v>290.107405313737</v>
      </c>
      <c r="G599" s="346">
        <f t="shared" si="214"/>
        <v>253.981808</v>
      </c>
      <c r="H599" s="414">
        <f t="shared" si="221"/>
        <v>10.9852858804841</v>
      </c>
      <c r="I599" s="420">
        <f>1059+400</f>
        <v>1459</v>
      </c>
      <c r="J599" s="307">
        <f t="shared" si="215"/>
        <v>574.5</v>
      </c>
      <c r="K599" s="306">
        <f t="shared" si="225"/>
        <v>64.951950254381</v>
      </c>
      <c r="M599" s="278">
        <f t="shared" si="199"/>
        <v>848</v>
      </c>
      <c r="N599" s="415">
        <v>848</v>
      </c>
      <c r="O599" s="415"/>
      <c r="P599" s="278">
        <v>1111</v>
      </c>
    </row>
    <row r="600" customFormat="1" ht="20" customHeight="1" spans="1:17">
      <c r="A600" s="416">
        <v>20824</v>
      </c>
      <c r="B600" s="427" t="s">
        <v>574</v>
      </c>
      <c r="C600" s="346">
        <v>0</v>
      </c>
      <c r="D600" s="346"/>
      <c r="E600" s="346">
        <v>0</v>
      </c>
      <c r="F600" s="414"/>
      <c r="G600" s="346">
        <f t="shared" si="214"/>
        <v>0</v>
      </c>
      <c r="H600" s="414"/>
      <c r="I600" s="346"/>
      <c r="J600" s="307">
        <f t="shared" si="215"/>
        <v>0</v>
      </c>
      <c r="K600" s="306"/>
      <c r="M600">
        <f t="shared" si="199"/>
        <v>0</v>
      </c>
      <c r="N600" s="415"/>
      <c r="O600" s="415"/>
    </row>
    <row r="601" customFormat="1" ht="20" customHeight="1" spans="1:17">
      <c r="A601" s="418">
        <v>2082401</v>
      </c>
      <c r="B601" s="239" t="s">
        <v>575</v>
      </c>
      <c r="C601" s="343">
        <v>0</v>
      </c>
      <c r="D601" s="343"/>
      <c r="E601" s="343">
        <v>0</v>
      </c>
      <c r="F601" s="414"/>
      <c r="G601" s="346">
        <f t="shared" si="214"/>
        <v>0</v>
      </c>
      <c r="H601" s="414"/>
      <c r="I601" s="343"/>
      <c r="J601" s="307">
        <f t="shared" si="215"/>
        <v>0</v>
      </c>
      <c r="K601" s="306"/>
      <c r="M601">
        <f t="shared" si="199"/>
        <v>0</v>
      </c>
      <c r="N601" s="415"/>
      <c r="O601" s="415"/>
    </row>
    <row r="602" customFormat="1" ht="20" customHeight="1" spans="1:17">
      <c r="A602" s="418">
        <v>2082402</v>
      </c>
      <c r="B602" s="239" t="s">
        <v>576</v>
      </c>
      <c r="C602" s="343">
        <v>0</v>
      </c>
      <c r="D602" s="343"/>
      <c r="E602" s="343">
        <v>0</v>
      </c>
      <c r="F602" s="414"/>
      <c r="G602" s="346">
        <f t="shared" si="214"/>
        <v>0</v>
      </c>
      <c r="H602" s="414"/>
      <c r="I602" s="343"/>
      <c r="J602" s="307">
        <f t="shared" si="215"/>
        <v>0</v>
      </c>
      <c r="K602" s="306"/>
      <c r="M602">
        <f t="shared" si="199"/>
        <v>0</v>
      </c>
      <c r="N602" s="415"/>
      <c r="O602" s="415"/>
    </row>
    <row r="603" customFormat="1" ht="20" customHeight="1" spans="1:17">
      <c r="A603" s="416">
        <v>20825</v>
      </c>
      <c r="B603" s="427" t="s">
        <v>577</v>
      </c>
      <c r="C603" s="371">
        <f>SUM(C604:C605)</f>
        <v>468.6</v>
      </c>
      <c r="D603" s="371">
        <f t="shared" ref="D603:I603" si="226">SUM(D604:D605)</f>
        <v>1.325</v>
      </c>
      <c r="E603" s="371">
        <f t="shared" si="226"/>
        <v>2</v>
      </c>
      <c r="F603" s="414">
        <f t="shared" ref="F603:F606" si="227">E603/D603*100</f>
        <v>150.943396226415</v>
      </c>
      <c r="G603" s="346">
        <f t="shared" si="214"/>
        <v>-466.6</v>
      </c>
      <c r="H603" s="414">
        <f t="shared" ref="H603:H606" si="228">G603/C603*100</f>
        <v>-99.5731967562953</v>
      </c>
      <c r="I603" s="371">
        <f t="shared" si="226"/>
        <v>0</v>
      </c>
      <c r="J603" s="307">
        <f t="shared" si="215"/>
        <v>-1.325</v>
      </c>
      <c r="K603" s="306">
        <f t="shared" ref="K603:K606" si="229">J603/D603*100</f>
        <v>-100</v>
      </c>
      <c r="M603">
        <f t="shared" si="199"/>
        <v>0</v>
      </c>
      <c r="N603" s="415"/>
      <c r="O603" s="415"/>
    </row>
    <row r="604" customFormat="1" ht="20" customHeight="1" spans="1:17">
      <c r="A604" s="418">
        <v>2082501</v>
      </c>
      <c r="B604" s="239" t="s">
        <v>578</v>
      </c>
      <c r="C604" s="307">
        <v>63.6</v>
      </c>
      <c r="D604" s="343"/>
      <c r="E604" s="307"/>
      <c r="F604" s="414"/>
      <c r="G604" s="346">
        <f t="shared" si="214"/>
        <v>-63.6</v>
      </c>
      <c r="H604" s="414">
        <f t="shared" si="228"/>
        <v>-100</v>
      </c>
      <c r="I604" s="343"/>
      <c r="J604" s="307">
        <f t="shared" si="215"/>
        <v>0</v>
      </c>
      <c r="K604" s="306"/>
      <c r="M604">
        <f t="shared" si="199"/>
        <v>0</v>
      </c>
      <c r="N604" s="415"/>
      <c r="O604" s="415"/>
    </row>
    <row r="605" customFormat="1" ht="20" customHeight="1" spans="1:17">
      <c r="A605" s="418">
        <v>2082502</v>
      </c>
      <c r="B605" s="239" t="s">
        <v>579</v>
      </c>
      <c r="C605" s="307">
        <v>405</v>
      </c>
      <c r="D605" s="425">
        <v>1.325</v>
      </c>
      <c r="E605" s="307">
        <v>2</v>
      </c>
      <c r="F605" s="414">
        <f t="shared" si="227"/>
        <v>150.943396226415</v>
      </c>
      <c r="G605" s="346">
        <f t="shared" si="214"/>
        <v>-403</v>
      </c>
      <c r="H605" s="414">
        <f t="shared" si="228"/>
        <v>-99.5061728395062</v>
      </c>
      <c r="I605" s="425"/>
      <c r="J605" s="307">
        <f t="shared" si="215"/>
        <v>-1.325</v>
      </c>
      <c r="K605" s="306">
        <f t="shared" si="229"/>
        <v>-100</v>
      </c>
      <c r="M605">
        <f t="shared" si="199"/>
        <v>1</v>
      </c>
      <c r="N605" s="415">
        <v>1</v>
      </c>
      <c r="O605" s="415"/>
    </row>
    <row r="606" customFormat="1" ht="20" customHeight="1" spans="1:17">
      <c r="A606" s="416">
        <v>20826</v>
      </c>
      <c r="B606" s="427" t="s">
        <v>580</v>
      </c>
      <c r="C606" s="371">
        <f>SUM(C607:C609)</f>
        <v>6260</v>
      </c>
      <c r="D606" s="371">
        <f t="shared" ref="D606:I606" si="230">SUM(D607:D609)</f>
        <v>11663.094</v>
      </c>
      <c r="E606" s="371">
        <f t="shared" si="230"/>
        <v>14967</v>
      </c>
      <c r="F606" s="414">
        <f t="shared" si="227"/>
        <v>128.327869088597</v>
      </c>
      <c r="G606" s="346">
        <f t="shared" si="214"/>
        <v>8707</v>
      </c>
      <c r="H606" s="414">
        <f t="shared" si="228"/>
        <v>139.08945686901</v>
      </c>
      <c r="I606" s="371">
        <f t="shared" si="230"/>
        <v>12675</v>
      </c>
      <c r="J606" s="307">
        <f t="shared" si="215"/>
        <v>1011.906</v>
      </c>
      <c r="K606" s="306">
        <f t="shared" si="229"/>
        <v>8.67613688100258</v>
      </c>
      <c r="M606">
        <f t="shared" si="199"/>
        <v>0</v>
      </c>
      <c r="N606" s="415"/>
      <c r="O606" s="415"/>
    </row>
    <row r="607" s="278" customFormat="1" ht="20" customHeight="1" spans="1:17">
      <c r="A607" s="418">
        <v>2082601</v>
      </c>
      <c r="B607" s="433" t="s">
        <v>581</v>
      </c>
      <c r="C607" s="307">
        <v>0</v>
      </c>
      <c r="D607" s="343"/>
      <c r="E607" s="307">
        <v>0</v>
      </c>
      <c r="F607" s="414"/>
      <c r="G607" s="346">
        <f t="shared" si="214"/>
        <v>0</v>
      </c>
      <c r="H607" s="414"/>
      <c r="I607" s="343"/>
      <c r="J607" s="307">
        <f t="shared" si="215"/>
        <v>0</v>
      </c>
      <c r="K607" s="306"/>
      <c r="M607" s="278">
        <f t="shared" si="199"/>
        <v>0</v>
      </c>
      <c r="N607" s="415"/>
      <c r="O607" s="415"/>
    </row>
    <row r="608" s="278" customFormat="1" ht="20" customHeight="1" spans="1:17">
      <c r="A608" s="418">
        <v>2082602</v>
      </c>
      <c r="B608" s="433" t="s">
        <v>582</v>
      </c>
      <c r="C608" s="307">
        <v>6260</v>
      </c>
      <c r="D608" s="425">
        <f>995.094+8787+1722+159</f>
        <v>11663.094</v>
      </c>
      <c r="E608" s="307">
        <v>14967</v>
      </c>
      <c r="F608" s="414">
        <f>E608/D608*100</f>
        <v>128.327869088597</v>
      </c>
      <c r="G608" s="346">
        <f t="shared" si="214"/>
        <v>8707</v>
      </c>
      <c r="H608" s="414">
        <f>G608/C608*100</f>
        <v>139.08945686901</v>
      </c>
      <c r="I608" s="425">
        <f>9657+3018</f>
        <v>12675</v>
      </c>
      <c r="J608" s="307">
        <f t="shared" si="215"/>
        <v>1011.906</v>
      </c>
      <c r="K608" s="306">
        <f>J608/D608*100</f>
        <v>8.67613688100258</v>
      </c>
      <c r="M608" s="278">
        <f t="shared" si="199"/>
        <v>0</v>
      </c>
      <c r="N608" s="415"/>
      <c r="O608" s="415"/>
      <c r="P608" s="278">
        <v>8787</v>
      </c>
    </row>
    <row r="609" s="278" customFormat="1" ht="20" customHeight="1" spans="1:15">
      <c r="A609" s="418">
        <v>2082699</v>
      </c>
      <c r="B609" s="433" t="s">
        <v>583</v>
      </c>
      <c r="C609" s="307">
        <v>0</v>
      </c>
      <c r="D609" s="343"/>
      <c r="E609" s="307">
        <v>0</v>
      </c>
      <c r="F609" s="414"/>
      <c r="G609" s="346">
        <f t="shared" si="214"/>
        <v>0</v>
      </c>
      <c r="H609" s="414"/>
      <c r="I609" s="343"/>
      <c r="J609" s="307">
        <f t="shared" si="215"/>
        <v>0</v>
      </c>
      <c r="K609" s="306"/>
      <c r="M609" s="278">
        <f t="shared" si="199"/>
        <v>0</v>
      </c>
      <c r="N609" s="415"/>
      <c r="O609" s="415"/>
    </row>
    <row r="610" customFormat="1" ht="20" customHeight="1" spans="1:15">
      <c r="A610" s="416">
        <v>20827</v>
      </c>
      <c r="B610" s="427" t="s">
        <v>584</v>
      </c>
      <c r="C610" s="346">
        <v>0</v>
      </c>
      <c r="D610" s="346"/>
      <c r="E610" s="346">
        <v>0</v>
      </c>
      <c r="F610" s="414"/>
      <c r="G610" s="346">
        <f t="shared" si="214"/>
        <v>0</v>
      </c>
      <c r="H610" s="414"/>
      <c r="I610" s="346"/>
      <c r="J610" s="307">
        <f t="shared" si="215"/>
        <v>0</v>
      </c>
      <c r="K610" s="306"/>
      <c r="M610">
        <f t="shared" si="199"/>
        <v>0</v>
      </c>
      <c r="N610" s="415"/>
      <c r="O610" s="415"/>
    </row>
    <row r="611" s="278" customFormat="1" ht="20" customHeight="1" spans="1:15">
      <c r="A611" s="418">
        <v>2082701</v>
      </c>
      <c r="B611" s="433" t="s">
        <v>585</v>
      </c>
      <c r="C611" s="307">
        <v>0</v>
      </c>
      <c r="D611" s="343"/>
      <c r="E611" s="307">
        <v>0</v>
      </c>
      <c r="F611" s="414"/>
      <c r="G611" s="346">
        <f t="shared" si="214"/>
        <v>0</v>
      </c>
      <c r="H611" s="414"/>
      <c r="I611" s="343"/>
      <c r="J611" s="307">
        <f t="shared" si="215"/>
        <v>0</v>
      </c>
      <c r="K611" s="306"/>
      <c r="M611" s="278">
        <f t="shared" si="199"/>
        <v>0</v>
      </c>
      <c r="N611" s="415"/>
      <c r="O611" s="415"/>
    </row>
    <row r="612" s="278" customFormat="1" ht="20" customHeight="1" spans="1:15">
      <c r="A612" s="418">
        <v>2082702</v>
      </c>
      <c r="B612" s="433" t="s">
        <v>586</v>
      </c>
      <c r="C612" s="307">
        <v>0</v>
      </c>
      <c r="D612" s="343"/>
      <c r="E612" s="307">
        <v>0</v>
      </c>
      <c r="F612" s="414"/>
      <c r="G612" s="346">
        <f t="shared" si="214"/>
        <v>0</v>
      </c>
      <c r="H612" s="414"/>
      <c r="I612" s="343"/>
      <c r="J612" s="307">
        <f t="shared" si="215"/>
        <v>0</v>
      </c>
      <c r="K612" s="306"/>
      <c r="M612" s="278">
        <f t="shared" si="199"/>
        <v>0</v>
      </c>
      <c r="N612" s="415"/>
      <c r="O612" s="415"/>
    </row>
    <row r="613" s="278" customFormat="1" ht="20" customHeight="1" spans="1:15">
      <c r="A613" s="418">
        <v>2082799</v>
      </c>
      <c r="B613" s="433" t="s">
        <v>587</v>
      </c>
      <c r="C613" s="307">
        <v>0</v>
      </c>
      <c r="D613" s="343"/>
      <c r="E613" s="307">
        <v>0</v>
      </c>
      <c r="F613" s="414"/>
      <c r="G613" s="346">
        <f t="shared" si="214"/>
        <v>0</v>
      </c>
      <c r="H613" s="414"/>
      <c r="I613" s="343"/>
      <c r="J613" s="307">
        <f t="shared" si="215"/>
        <v>0</v>
      </c>
      <c r="K613" s="306"/>
      <c r="M613" s="278">
        <f t="shared" si="199"/>
        <v>0</v>
      </c>
      <c r="N613" s="415"/>
      <c r="O613" s="415"/>
    </row>
    <row r="614" customFormat="1" ht="20" customHeight="1" spans="1:15">
      <c r="A614" s="416">
        <v>20828</v>
      </c>
      <c r="B614" s="427" t="s">
        <v>588</v>
      </c>
      <c r="C614" s="346">
        <f>SUM(C615:C622)</f>
        <v>410.894153</v>
      </c>
      <c r="D614" s="346">
        <f t="shared" ref="D614:I614" si="231">SUM(D615:D622)</f>
        <v>185.482922</v>
      </c>
      <c r="E614" s="346">
        <f t="shared" si="231"/>
        <v>262</v>
      </c>
      <c r="F614" s="414">
        <f>E614/D614*100</f>
        <v>141.252896587428</v>
      </c>
      <c r="G614" s="346">
        <f t="shared" si="214"/>
        <v>-148.894153</v>
      </c>
      <c r="H614" s="414">
        <f t="shared" ref="H614:H616" si="232">G614/C614*100</f>
        <v>-36.2366200426318</v>
      </c>
      <c r="I614" s="346">
        <f t="shared" si="231"/>
        <v>188.351969</v>
      </c>
      <c r="J614" s="307">
        <f t="shared" si="215"/>
        <v>2.86904699999999</v>
      </c>
      <c r="K614" s="306">
        <f>J614/D614*100</f>
        <v>1.54679847021172</v>
      </c>
      <c r="M614">
        <f t="shared" si="199"/>
        <v>0</v>
      </c>
      <c r="N614" s="415"/>
      <c r="O614" s="415"/>
    </row>
    <row r="615" s="278" customFormat="1" ht="20" customHeight="1" spans="1:15">
      <c r="A615" s="418">
        <v>2082801</v>
      </c>
      <c r="B615" s="433" t="s">
        <v>165</v>
      </c>
      <c r="C615" s="307">
        <v>67.053973</v>
      </c>
      <c r="D615" s="425">
        <v>70.589522</v>
      </c>
      <c r="E615" s="307">
        <v>72</v>
      </c>
      <c r="F615" s="414">
        <f>E615/D615*100</f>
        <v>101.998140743891</v>
      </c>
      <c r="G615" s="346">
        <f t="shared" si="214"/>
        <v>4.946027</v>
      </c>
      <c r="H615" s="414">
        <f t="shared" si="232"/>
        <v>7.37618783602875</v>
      </c>
      <c r="I615" s="420">
        <v>57.631969</v>
      </c>
      <c r="J615" s="307">
        <f t="shared" si="215"/>
        <v>-12.957553</v>
      </c>
      <c r="K615" s="306">
        <f>J615/D615*100</f>
        <v>-18.356198813756</v>
      </c>
      <c r="M615" s="278">
        <f t="shared" si="199"/>
        <v>61</v>
      </c>
      <c r="N615" s="415">
        <v>61</v>
      </c>
      <c r="O615" s="415"/>
    </row>
    <row r="616" s="278" customFormat="1" ht="20" customHeight="1" spans="1:15">
      <c r="A616" s="418">
        <v>2082802</v>
      </c>
      <c r="B616" s="433" t="s">
        <v>166</v>
      </c>
      <c r="C616" s="307">
        <v>11.50586</v>
      </c>
      <c r="D616" s="343"/>
      <c r="E616" s="307">
        <v>3</v>
      </c>
      <c r="F616" s="414"/>
      <c r="G616" s="346">
        <f t="shared" si="214"/>
        <v>-8.50586</v>
      </c>
      <c r="H616" s="414">
        <f t="shared" si="232"/>
        <v>-73.9263297137285</v>
      </c>
      <c r="I616" s="420">
        <v>2</v>
      </c>
      <c r="J616" s="307">
        <f t="shared" si="215"/>
        <v>2</v>
      </c>
      <c r="K616" s="306"/>
      <c r="M616" s="278">
        <f t="shared" si="199"/>
        <v>0</v>
      </c>
      <c r="N616" s="415"/>
      <c r="O616" s="415"/>
    </row>
    <row r="617" s="278" customFormat="1" ht="20" customHeight="1" spans="1:15">
      <c r="A617" s="418">
        <v>2082803</v>
      </c>
      <c r="B617" s="433" t="s">
        <v>167</v>
      </c>
      <c r="C617" s="307">
        <v>0</v>
      </c>
      <c r="D617" s="343"/>
      <c r="E617" s="307">
        <v>0</v>
      </c>
      <c r="F617" s="414"/>
      <c r="G617" s="346">
        <f t="shared" si="214"/>
        <v>0</v>
      </c>
      <c r="H617" s="414"/>
      <c r="I617" s="343"/>
      <c r="J617" s="307">
        <f t="shared" si="215"/>
        <v>0</v>
      </c>
      <c r="K617" s="306"/>
      <c r="M617" s="278">
        <f t="shared" si="199"/>
        <v>0</v>
      </c>
      <c r="N617" s="415"/>
      <c r="O617" s="415"/>
    </row>
    <row r="618" s="278" customFormat="1" ht="20" customHeight="1" spans="1:15">
      <c r="A618" s="418">
        <v>2082804</v>
      </c>
      <c r="B618" s="433" t="s">
        <v>589</v>
      </c>
      <c r="C618" s="307">
        <v>25.97</v>
      </c>
      <c r="D618" s="343"/>
      <c r="E618" s="307">
        <v>59</v>
      </c>
      <c r="F618" s="414"/>
      <c r="G618" s="346">
        <f t="shared" si="214"/>
        <v>33.03</v>
      </c>
      <c r="H618" s="414">
        <f t="shared" ref="H618:H631" si="233">G618/C618*100</f>
        <v>127.185213708125</v>
      </c>
      <c r="I618" s="343"/>
      <c r="J618" s="307">
        <f t="shared" si="215"/>
        <v>0</v>
      </c>
      <c r="K618" s="306"/>
      <c r="M618" s="278">
        <f t="shared" si="199"/>
        <v>0</v>
      </c>
      <c r="N618" s="415"/>
      <c r="O618" s="415"/>
    </row>
    <row r="619" s="278" customFormat="1" ht="20" customHeight="1" spans="1:15">
      <c r="A619" s="418">
        <v>2082805</v>
      </c>
      <c r="B619" s="433" t="s">
        <v>590</v>
      </c>
      <c r="C619" s="307">
        <v>0</v>
      </c>
      <c r="D619" s="343"/>
      <c r="E619" s="307">
        <v>0</v>
      </c>
      <c r="F619" s="414"/>
      <c r="G619" s="346">
        <f t="shared" si="214"/>
        <v>0</v>
      </c>
      <c r="H619" s="414"/>
      <c r="I619" s="343"/>
      <c r="J619" s="307">
        <f t="shared" si="215"/>
        <v>0</v>
      </c>
      <c r="K619" s="306"/>
      <c r="M619" s="278">
        <f t="shared" si="199"/>
        <v>0</v>
      </c>
      <c r="N619" s="415"/>
      <c r="O619" s="415"/>
    </row>
    <row r="620" s="278" customFormat="1" ht="20" customHeight="1" spans="1:15">
      <c r="A620" s="418">
        <v>2082806</v>
      </c>
      <c r="B620" s="433" t="s">
        <v>207</v>
      </c>
      <c r="C620" s="307">
        <v>0</v>
      </c>
      <c r="D620" s="343"/>
      <c r="E620" s="307">
        <v>0</v>
      </c>
      <c r="F620" s="414"/>
      <c r="G620" s="346">
        <f t="shared" si="214"/>
        <v>0</v>
      </c>
      <c r="H620" s="414"/>
      <c r="I620" s="343"/>
      <c r="J620" s="307">
        <f t="shared" si="215"/>
        <v>0</v>
      </c>
      <c r="K620" s="306"/>
      <c r="M620" s="278">
        <f t="shared" si="199"/>
        <v>0</v>
      </c>
      <c r="N620" s="415"/>
      <c r="O620" s="415"/>
    </row>
    <row r="621" s="278" customFormat="1" ht="20" customHeight="1" spans="1:15">
      <c r="A621" s="418">
        <v>2082850</v>
      </c>
      <c r="B621" s="433" t="s">
        <v>174</v>
      </c>
      <c r="C621" s="307">
        <v>306.36432</v>
      </c>
      <c r="D621" s="425">
        <v>114.8934</v>
      </c>
      <c r="E621" s="307">
        <v>118</v>
      </c>
      <c r="F621" s="414">
        <f t="shared" ref="F621:F631" si="234">E621/D621*100</f>
        <v>102.703897699955</v>
      </c>
      <c r="G621" s="346">
        <f t="shared" si="214"/>
        <v>-188.36432</v>
      </c>
      <c r="H621" s="414">
        <f t="shared" si="233"/>
        <v>-61.4837654724284</v>
      </c>
      <c r="I621" s="425">
        <v>128.72</v>
      </c>
      <c r="J621" s="307">
        <f t="shared" si="215"/>
        <v>13.8266</v>
      </c>
      <c r="K621" s="306">
        <f t="shared" ref="K621:K631" si="235">J621/D621*100</f>
        <v>12.0342856943915</v>
      </c>
      <c r="M621" s="278">
        <f t="shared" ref="M621:M662" si="236">N621+O621</f>
        <v>0</v>
      </c>
      <c r="N621" s="415"/>
      <c r="O621" s="415"/>
    </row>
    <row r="622" s="278" customFormat="1" ht="20" customHeight="1" spans="1:15">
      <c r="A622" s="418">
        <v>2082899</v>
      </c>
      <c r="B622" s="433" t="s">
        <v>591</v>
      </c>
      <c r="C622" s="307">
        <v>0</v>
      </c>
      <c r="D622" s="343"/>
      <c r="E622" s="307">
        <v>10</v>
      </c>
      <c r="F622" s="414"/>
      <c r="G622" s="346">
        <f t="shared" si="214"/>
        <v>10</v>
      </c>
      <c r="H622" s="414"/>
      <c r="I622" s="343"/>
      <c r="J622" s="307">
        <f t="shared" si="215"/>
        <v>0</v>
      </c>
      <c r="K622" s="306"/>
      <c r="M622" s="278">
        <f t="shared" si="236"/>
        <v>378</v>
      </c>
      <c r="N622" s="415">
        <v>378</v>
      </c>
      <c r="O622" s="415"/>
    </row>
    <row r="623" customFormat="1" ht="20" customHeight="1" spans="1:15">
      <c r="A623" s="416">
        <v>20830</v>
      </c>
      <c r="B623" s="427" t="s">
        <v>592</v>
      </c>
      <c r="C623" s="346">
        <f>SUM(C624:C625)</f>
        <v>844.2371</v>
      </c>
      <c r="D623" s="346">
        <f t="shared" ref="D623:I623" si="237">SUM(D624:D625)</f>
        <v>140.28</v>
      </c>
      <c r="E623" s="346">
        <f t="shared" si="237"/>
        <v>205</v>
      </c>
      <c r="F623" s="414">
        <f t="shared" si="234"/>
        <v>146.13629883091</v>
      </c>
      <c r="G623" s="346">
        <f t="shared" si="214"/>
        <v>-639.2371</v>
      </c>
      <c r="H623" s="414">
        <f t="shared" si="233"/>
        <v>-75.7177219527547</v>
      </c>
      <c r="I623" s="346">
        <f t="shared" si="237"/>
        <v>1702.24</v>
      </c>
      <c r="J623" s="307">
        <f t="shared" si="215"/>
        <v>1561.96</v>
      </c>
      <c r="K623" s="306">
        <f t="shared" si="235"/>
        <v>1113.45879669233</v>
      </c>
      <c r="M623">
        <f t="shared" si="236"/>
        <v>0</v>
      </c>
      <c r="N623" s="415"/>
      <c r="O623" s="415"/>
    </row>
    <row r="624" customFormat="1" ht="20" customHeight="1" spans="1:15">
      <c r="A624" s="418">
        <v>2083001</v>
      </c>
      <c r="B624" s="239" t="s">
        <v>593</v>
      </c>
      <c r="C624" s="343">
        <v>57.2</v>
      </c>
      <c r="D624" s="343"/>
      <c r="E624" s="343">
        <v>18</v>
      </c>
      <c r="F624" s="414"/>
      <c r="G624" s="346">
        <f t="shared" si="214"/>
        <v>-39.2</v>
      </c>
      <c r="H624" s="414">
        <f t="shared" si="233"/>
        <v>-68.5314685314685</v>
      </c>
      <c r="I624" s="343">
        <f>183.6+44</f>
        <v>227.6</v>
      </c>
      <c r="J624" s="307">
        <f t="shared" si="215"/>
        <v>227.6</v>
      </c>
      <c r="K624" s="306"/>
      <c r="M624">
        <f t="shared" si="236"/>
        <v>1068</v>
      </c>
      <c r="N624" s="415">
        <v>1068</v>
      </c>
      <c r="O624" s="415"/>
    </row>
    <row r="625" customFormat="1" ht="20" customHeight="1" spans="1:17">
      <c r="A625" s="418">
        <v>2083099</v>
      </c>
      <c r="B625" s="239" t="s">
        <v>594</v>
      </c>
      <c r="C625" s="343">
        <v>787.0371</v>
      </c>
      <c r="D625" s="425">
        <v>140.28</v>
      </c>
      <c r="E625" s="343">
        <v>187</v>
      </c>
      <c r="F625" s="414">
        <f t="shared" si="234"/>
        <v>133.304818933561</v>
      </c>
      <c r="G625" s="346">
        <f t="shared" si="214"/>
        <v>-600.0371</v>
      </c>
      <c r="H625" s="414">
        <f t="shared" si="233"/>
        <v>-76.2400019007999</v>
      </c>
      <c r="I625" s="425">
        <f>1255.68+30.96+188</f>
        <v>1474.64</v>
      </c>
      <c r="J625" s="307">
        <f t="shared" si="215"/>
        <v>1334.36</v>
      </c>
      <c r="K625" s="306">
        <f t="shared" si="235"/>
        <v>951.211861990305</v>
      </c>
      <c r="M625">
        <f t="shared" si="236"/>
        <v>148</v>
      </c>
      <c r="N625" s="415">
        <v>148</v>
      </c>
      <c r="O625" s="415"/>
      <c r="Q625">
        <v>55</v>
      </c>
    </row>
    <row r="626" customFormat="1" ht="20" customHeight="1" spans="1:17">
      <c r="A626" s="416">
        <v>20899</v>
      </c>
      <c r="B626" s="427" t="s">
        <v>595</v>
      </c>
      <c r="C626" s="371">
        <f>C627</f>
        <v>690.459771</v>
      </c>
      <c r="D626" s="371">
        <f t="shared" ref="D626:I626" si="238">D627</f>
        <v>5149.402716</v>
      </c>
      <c r="E626" s="371">
        <f t="shared" si="238"/>
        <v>682</v>
      </c>
      <c r="F626" s="414">
        <f t="shared" si="234"/>
        <v>13.2442544818046</v>
      </c>
      <c r="G626" s="346">
        <f t="shared" si="214"/>
        <v>-8.45977100000005</v>
      </c>
      <c r="H626" s="414">
        <f t="shared" si="233"/>
        <v>-1.22523734985279</v>
      </c>
      <c r="I626" s="371">
        <f t="shared" si="238"/>
        <v>5250.48</v>
      </c>
      <c r="J626" s="307">
        <f t="shared" si="215"/>
        <v>101.077284</v>
      </c>
      <c r="K626" s="306">
        <f t="shared" si="235"/>
        <v>1.9628933601549</v>
      </c>
      <c r="M626">
        <f t="shared" si="236"/>
        <v>0</v>
      </c>
      <c r="N626" s="415"/>
      <c r="O626" s="415"/>
    </row>
    <row r="627" customFormat="1" ht="20" customHeight="1" spans="1:17">
      <c r="A627" s="418">
        <v>2089999</v>
      </c>
      <c r="B627" s="239" t="s">
        <v>596</v>
      </c>
      <c r="C627" s="343">
        <v>690.459771</v>
      </c>
      <c r="D627" s="343">
        <f>558.092716+30.31+4561</f>
        <v>5149.402716</v>
      </c>
      <c r="E627" s="343">
        <v>682</v>
      </c>
      <c r="F627" s="414">
        <f t="shared" si="234"/>
        <v>13.2442544818046</v>
      </c>
      <c r="G627" s="346">
        <f t="shared" si="214"/>
        <v>-8.45977100000005</v>
      </c>
      <c r="H627" s="414">
        <f t="shared" si="233"/>
        <v>-1.22523734985279</v>
      </c>
      <c r="I627" s="343">
        <f>529.33+0.15+4721</f>
        <v>5250.48</v>
      </c>
      <c r="J627" s="307">
        <f t="shared" si="215"/>
        <v>101.077284</v>
      </c>
      <c r="K627" s="306">
        <f t="shared" si="235"/>
        <v>1.9628933601549</v>
      </c>
      <c r="M627">
        <f t="shared" si="236"/>
        <v>672</v>
      </c>
      <c r="N627" s="415">
        <v>672</v>
      </c>
      <c r="O627" s="415"/>
      <c r="Q627">
        <v>109</v>
      </c>
    </row>
    <row r="628" s="278" customFormat="1" ht="20" customHeight="1" spans="1:17">
      <c r="A628" s="412">
        <v>210</v>
      </c>
      <c r="B628" s="413" t="s">
        <v>597</v>
      </c>
      <c r="C628" s="346">
        <f>SUM(C629:C704)/2</f>
        <v>25328.828331</v>
      </c>
      <c r="D628" s="346">
        <f t="shared" ref="D628:I628" si="239">SUM(D629:D704)/2</f>
        <v>26405.795003</v>
      </c>
      <c r="E628" s="346">
        <f t="shared" si="239"/>
        <v>30485</v>
      </c>
      <c r="F628" s="414">
        <f t="shared" si="234"/>
        <v>115.44814309335</v>
      </c>
      <c r="G628" s="346">
        <f t="shared" si="214"/>
        <v>5156.17166900001</v>
      </c>
      <c r="H628" s="414">
        <f t="shared" si="233"/>
        <v>20.3569292729161</v>
      </c>
      <c r="I628" s="346">
        <f t="shared" si="239"/>
        <v>28297.715675</v>
      </c>
      <c r="J628" s="307">
        <f t="shared" si="215"/>
        <v>1891.92067199999</v>
      </c>
      <c r="K628" s="306">
        <f t="shared" si="235"/>
        <v>7.16479345456194</v>
      </c>
      <c r="M628" s="278">
        <f t="shared" si="236"/>
        <v>0</v>
      </c>
      <c r="N628" s="415"/>
      <c r="O628" s="415"/>
    </row>
    <row r="629" customFormat="1" ht="20" customHeight="1" spans="1:17">
      <c r="A629" s="416">
        <v>21001</v>
      </c>
      <c r="B629" s="427" t="s">
        <v>598</v>
      </c>
      <c r="C629" s="346">
        <f>SUM(C630:C633)</f>
        <v>604.464565</v>
      </c>
      <c r="D629" s="346">
        <f t="shared" ref="D629:I629" si="240">SUM(D630:D633)</f>
        <v>361.789023</v>
      </c>
      <c r="E629" s="346">
        <f t="shared" si="240"/>
        <v>441</v>
      </c>
      <c r="F629" s="414">
        <f t="shared" si="234"/>
        <v>121.894245531048</v>
      </c>
      <c r="G629" s="346">
        <f t="shared" si="214"/>
        <v>-163.464565</v>
      </c>
      <c r="H629" s="414">
        <f t="shared" si="233"/>
        <v>-27.042869750355</v>
      </c>
      <c r="I629" s="346">
        <f t="shared" si="240"/>
        <v>373.823074</v>
      </c>
      <c r="J629" s="307">
        <f t="shared" si="215"/>
        <v>12.034051</v>
      </c>
      <c r="K629" s="306">
        <f t="shared" si="235"/>
        <v>3.3262620574312</v>
      </c>
      <c r="M629">
        <f t="shared" si="236"/>
        <v>0</v>
      </c>
      <c r="N629" s="415"/>
      <c r="O629" s="415"/>
    </row>
    <row r="630" customFormat="1" ht="20" customHeight="1" spans="1:17">
      <c r="A630" s="418">
        <v>2100101</v>
      </c>
      <c r="B630" s="239" t="s">
        <v>165</v>
      </c>
      <c r="C630" s="307">
        <v>325.113572</v>
      </c>
      <c r="D630" s="425">
        <v>359.050023</v>
      </c>
      <c r="E630" s="307">
        <v>380</v>
      </c>
      <c r="F630" s="414">
        <f t="shared" si="234"/>
        <v>105.834835164458</v>
      </c>
      <c r="G630" s="346">
        <f t="shared" si="214"/>
        <v>54.886428</v>
      </c>
      <c r="H630" s="414">
        <f t="shared" si="233"/>
        <v>16.8822321573213</v>
      </c>
      <c r="I630" s="420">
        <v>353.745766</v>
      </c>
      <c r="J630" s="307">
        <f t="shared" si="215"/>
        <v>-5.30425700000001</v>
      </c>
      <c r="K630" s="306">
        <f t="shared" si="235"/>
        <v>-1.47730306648665</v>
      </c>
      <c r="M630">
        <f t="shared" si="236"/>
        <v>351</v>
      </c>
      <c r="N630" s="415">
        <v>351</v>
      </c>
      <c r="O630" s="415"/>
    </row>
    <row r="631" customFormat="1" ht="20" customHeight="1" spans="1:17">
      <c r="A631" s="418">
        <v>2100102</v>
      </c>
      <c r="B631" s="239" t="s">
        <v>166</v>
      </c>
      <c r="C631" s="307">
        <v>0.2</v>
      </c>
      <c r="D631" s="343">
        <v>2.739</v>
      </c>
      <c r="E631" s="307">
        <v>3</v>
      </c>
      <c r="F631" s="414">
        <f t="shared" si="234"/>
        <v>109.529025191676</v>
      </c>
      <c r="G631" s="346">
        <f t="shared" si="214"/>
        <v>2.8</v>
      </c>
      <c r="H631" s="414">
        <f t="shared" si="233"/>
        <v>1400</v>
      </c>
      <c r="I631" s="343"/>
      <c r="J631" s="307">
        <f t="shared" si="215"/>
        <v>-2.739</v>
      </c>
      <c r="K631" s="306">
        <f t="shared" si="235"/>
        <v>-100</v>
      </c>
      <c r="M631">
        <f t="shared" si="236"/>
        <v>0</v>
      </c>
      <c r="N631" s="415"/>
      <c r="O631" s="415"/>
    </row>
    <row r="632" customFormat="1" ht="20" customHeight="1" spans="1:17">
      <c r="A632" s="418">
        <v>2100103</v>
      </c>
      <c r="B632" s="239" t="s">
        <v>167</v>
      </c>
      <c r="C632" s="307">
        <v>0</v>
      </c>
      <c r="D632" s="343"/>
      <c r="E632" s="307">
        <v>0</v>
      </c>
      <c r="F632" s="414"/>
      <c r="G632" s="346">
        <f t="shared" si="214"/>
        <v>0</v>
      </c>
      <c r="H632" s="414"/>
      <c r="I632" s="343"/>
      <c r="J632" s="307">
        <f t="shared" si="215"/>
        <v>0</v>
      </c>
      <c r="K632" s="306"/>
      <c r="M632">
        <f t="shared" si="236"/>
        <v>0</v>
      </c>
      <c r="N632" s="415"/>
      <c r="O632" s="415"/>
    </row>
    <row r="633" customFormat="1" ht="20" customHeight="1" spans="1:17">
      <c r="A633" s="418">
        <v>2100199</v>
      </c>
      <c r="B633" s="239" t="s">
        <v>599</v>
      </c>
      <c r="C633" s="307">
        <v>279.150993</v>
      </c>
      <c r="D633" s="343"/>
      <c r="E633" s="307">
        <v>58</v>
      </c>
      <c r="F633" s="414"/>
      <c r="G633" s="346">
        <f t="shared" si="214"/>
        <v>-221.150993</v>
      </c>
      <c r="H633" s="414">
        <f t="shared" ref="H633:H636" si="241">G633/C633*100</f>
        <v>-79.22271406715</v>
      </c>
      <c r="I633" s="420">
        <v>20.077308</v>
      </c>
      <c r="J633" s="307">
        <f t="shared" si="215"/>
        <v>20.077308</v>
      </c>
      <c r="K633" s="306"/>
      <c r="M633">
        <f t="shared" si="236"/>
        <v>7</v>
      </c>
      <c r="N633" s="415">
        <v>7</v>
      </c>
      <c r="O633" s="415"/>
    </row>
    <row r="634" customFormat="1" ht="20" customHeight="1" spans="1:17">
      <c r="A634" s="416">
        <v>21002</v>
      </c>
      <c r="B634" s="427" t="s">
        <v>600</v>
      </c>
      <c r="C634" s="346">
        <f>SUM(C635:C646)</f>
        <v>1623.843193</v>
      </c>
      <c r="D634" s="346">
        <f t="shared" ref="D634:I634" si="242">SUM(D635:D646)</f>
        <v>2233.744669</v>
      </c>
      <c r="E634" s="346">
        <f t="shared" si="242"/>
        <v>2117</v>
      </c>
      <c r="F634" s="414">
        <f t="shared" ref="F634:F636" si="243">E634/D634*100</f>
        <v>94.7735893622854</v>
      </c>
      <c r="G634" s="346">
        <f t="shared" si="214"/>
        <v>493.156807</v>
      </c>
      <c r="H634" s="414">
        <f t="shared" si="241"/>
        <v>30.3697308413695</v>
      </c>
      <c r="I634" s="346">
        <f t="shared" si="242"/>
        <v>2211.389767</v>
      </c>
      <c r="J634" s="307">
        <f t="shared" si="215"/>
        <v>-22.3549019999996</v>
      </c>
      <c r="K634" s="306">
        <f t="shared" ref="K634:K636" si="244">J634/D634*100</f>
        <v>-1.00078143711955</v>
      </c>
      <c r="M634">
        <f t="shared" si="236"/>
        <v>0</v>
      </c>
      <c r="N634" s="415"/>
      <c r="O634" s="415"/>
    </row>
    <row r="635" customFormat="1" ht="20" customHeight="1" spans="1:17">
      <c r="A635" s="418">
        <v>2100201</v>
      </c>
      <c r="B635" s="239" t="s">
        <v>601</v>
      </c>
      <c r="C635" s="307">
        <v>682.420126</v>
      </c>
      <c r="D635" s="425">
        <v>1005.253575</v>
      </c>
      <c r="E635" s="307">
        <v>874</v>
      </c>
      <c r="F635" s="414">
        <f t="shared" si="243"/>
        <v>86.9432371827178</v>
      </c>
      <c r="G635" s="346">
        <f t="shared" si="214"/>
        <v>191.579874</v>
      </c>
      <c r="H635" s="414">
        <f t="shared" si="241"/>
        <v>28.0735967039753</v>
      </c>
      <c r="I635" s="420">
        <v>963.670176</v>
      </c>
      <c r="J635" s="307">
        <f t="shared" si="215"/>
        <v>-41.583399</v>
      </c>
      <c r="K635" s="306">
        <f t="shared" si="244"/>
        <v>-4.13660792004644</v>
      </c>
      <c r="M635">
        <f t="shared" si="236"/>
        <v>781</v>
      </c>
      <c r="N635" s="415">
        <v>781</v>
      </c>
      <c r="O635" s="415"/>
      <c r="P635">
        <v>146</v>
      </c>
    </row>
    <row r="636" customFormat="1" ht="20" customHeight="1" spans="1:17">
      <c r="A636" s="418">
        <v>2100202</v>
      </c>
      <c r="B636" s="239" t="s">
        <v>602</v>
      </c>
      <c r="C636" s="307">
        <v>454.02987</v>
      </c>
      <c r="D636" s="425">
        <v>544.892457</v>
      </c>
      <c r="E636" s="307">
        <v>568</v>
      </c>
      <c r="F636" s="414">
        <f t="shared" si="243"/>
        <v>104.240752960175</v>
      </c>
      <c r="G636" s="346">
        <f t="shared" si="214"/>
        <v>113.97013</v>
      </c>
      <c r="H636" s="414">
        <f t="shared" si="241"/>
        <v>25.101901335258</v>
      </c>
      <c r="I636" s="420">
        <v>572.494501</v>
      </c>
      <c r="J636" s="307">
        <f t="shared" si="215"/>
        <v>27.602044</v>
      </c>
      <c r="K636" s="306">
        <f t="shared" si="244"/>
        <v>5.06559480598572</v>
      </c>
      <c r="M636">
        <f t="shared" si="236"/>
        <v>454</v>
      </c>
      <c r="N636" s="415">
        <v>454</v>
      </c>
      <c r="O636" s="415"/>
    </row>
    <row r="637" customFormat="1" ht="20" customHeight="1" spans="1:17">
      <c r="A637" s="418">
        <v>2100203</v>
      </c>
      <c r="B637" s="239" t="s">
        <v>603</v>
      </c>
      <c r="C637" s="307">
        <v>0</v>
      </c>
      <c r="D637" s="343"/>
      <c r="E637" s="307">
        <v>0</v>
      </c>
      <c r="F637" s="414"/>
      <c r="G637" s="346">
        <f t="shared" si="214"/>
        <v>0</v>
      </c>
      <c r="H637" s="414"/>
      <c r="I637" s="343"/>
      <c r="J637" s="307">
        <f t="shared" si="215"/>
        <v>0</v>
      </c>
      <c r="K637" s="306"/>
      <c r="M637">
        <f t="shared" si="236"/>
        <v>0</v>
      </c>
      <c r="N637" s="415"/>
      <c r="O637" s="415"/>
    </row>
    <row r="638" customFormat="1" ht="20" customHeight="1" spans="1:17">
      <c r="A638" s="418">
        <v>2100204</v>
      </c>
      <c r="B638" s="239" t="s">
        <v>604</v>
      </c>
      <c r="C638" s="307">
        <v>0</v>
      </c>
      <c r="D638" s="343"/>
      <c r="E638" s="307">
        <v>0</v>
      </c>
      <c r="F638" s="414"/>
      <c r="G638" s="346">
        <f t="shared" si="214"/>
        <v>0</v>
      </c>
      <c r="H638" s="414"/>
      <c r="I638" s="343"/>
      <c r="J638" s="307">
        <f t="shared" si="215"/>
        <v>0</v>
      </c>
      <c r="K638" s="306"/>
      <c r="M638">
        <f t="shared" si="236"/>
        <v>0</v>
      </c>
      <c r="N638" s="415"/>
      <c r="O638" s="415"/>
    </row>
    <row r="639" customFormat="1" ht="20" customHeight="1" spans="1:17">
      <c r="A639" s="418">
        <v>2100205</v>
      </c>
      <c r="B639" s="239" t="s">
        <v>605</v>
      </c>
      <c r="C639" s="307">
        <v>0</v>
      </c>
      <c r="D639" s="343"/>
      <c r="E639" s="307">
        <v>0</v>
      </c>
      <c r="F639" s="414"/>
      <c r="G639" s="346">
        <f t="shared" si="214"/>
        <v>0</v>
      </c>
      <c r="H639" s="414"/>
      <c r="I639" s="343"/>
      <c r="J639" s="307">
        <f t="shared" si="215"/>
        <v>0</v>
      </c>
      <c r="K639" s="306"/>
      <c r="M639">
        <f t="shared" si="236"/>
        <v>0</v>
      </c>
      <c r="N639" s="415"/>
      <c r="O639" s="415"/>
    </row>
    <row r="640" customFormat="1" ht="20" customHeight="1" spans="1:17">
      <c r="A640" s="418">
        <v>2100206</v>
      </c>
      <c r="B640" s="239" t="s">
        <v>606</v>
      </c>
      <c r="C640" s="307">
        <v>473.967327</v>
      </c>
      <c r="D640" s="425">
        <v>640.148637</v>
      </c>
      <c r="E640" s="307">
        <v>633</v>
      </c>
      <c r="F640" s="414">
        <f>E640/D640*100</f>
        <v>98.8832848206158</v>
      </c>
      <c r="G640" s="346">
        <f t="shared" si="214"/>
        <v>159.032673</v>
      </c>
      <c r="H640" s="414">
        <f>G640/C640*100</f>
        <v>33.5535096916079</v>
      </c>
      <c r="I640" s="420">
        <v>675.22509</v>
      </c>
      <c r="J640" s="307">
        <f t="shared" si="215"/>
        <v>35.076453</v>
      </c>
      <c r="K640" s="306">
        <f>J640/D640*100</f>
        <v>5.47942321089407</v>
      </c>
      <c r="M640">
        <f t="shared" si="236"/>
        <v>520</v>
      </c>
      <c r="N640" s="415">
        <v>520</v>
      </c>
      <c r="O640" s="415"/>
    </row>
    <row r="641" customFormat="1" ht="20" customHeight="1" spans="1:17">
      <c r="A641" s="418">
        <v>2100207</v>
      </c>
      <c r="B641" s="239" t="s">
        <v>607</v>
      </c>
      <c r="C641" s="307">
        <v>0</v>
      </c>
      <c r="D641" s="343"/>
      <c r="E641" s="307">
        <v>0</v>
      </c>
      <c r="F641" s="414"/>
      <c r="G641" s="346">
        <f t="shared" si="214"/>
        <v>0</v>
      </c>
      <c r="H641" s="414"/>
      <c r="I641" s="343"/>
      <c r="J641" s="307">
        <f t="shared" si="215"/>
        <v>0</v>
      </c>
      <c r="K641" s="306"/>
      <c r="M641">
        <f t="shared" si="236"/>
        <v>0</v>
      </c>
      <c r="N641" s="415"/>
      <c r="O641" s="415"/>
    </row>
    <row r="642" customFormat="1" ht="20" customHeight="1" spans="1:17">
      <c r="A642" s="418">
        <v>2100208</v>
      </c>
      <c r="B642" s="239" t="s">
        <v>608</v>
      </c>
      <c r="C642" s="307">
        <v>0</v>
      </c>
      <c r="D642" s="343"/>
      <c r="E642" s="307">
        <v>0</v>
      </c>
      <c r="F642" s="414"/>
      <c r="G642" s="346">
        <f t="shared" si="214"/>
        <v>0</v>
      </c>
      <c r="H642" s="414"/>
      <c r="I642" s="343"/>
      <c r="J642" s="307">
        <f t="shared" si="215"/>
        <v>0</v>
      </c>
      <c r="K642" s="306"/>
      <c r="M642">
        <f t="shared" si="236"/>
        <v>0</v>
      </c>
      <c r="N642" s="415"/>
      <c r="O642" s="415"/>
    </row>
    <row r="643" customFormat="1" ht="20" customHeight="1" spans="1:17">
      <c r="A643" s="418">
        <v>2100209</v>
      </c>
      <c r="B643" s="239" t="s">
        <v>609</v>
      </c>
      <c r="C643" s="307">
        <v>0</v>
      </c>
      <c r="D643" s="343"/>
      <c r="E643" s="307">
        <v>0</v>
      </c>
      <c r="F643" s="414"/>
      <c r="G643" s="346">
        <f t="shared" si="214"/>
        <v>0</v>
      </c>
      <c r="H643" s="414"/>
      <c r="I643" s="343"/>
      <c r="J643" s="307">
        <f t="shared" si="215"/>
        <v>0</v>
      </c>
      <c r="K643" s="306"/>
      <c r="M643">
        <f t="shared" si="236"/>
        <v>0</v>
      </c>
      <c r="N643" s="415"/>
      <c r="O643" s="415"/>
    </row>
    <row r="644" customFormat="1" ht="20" customHeight="1" spans="1:17">
      <c r="A644" s="418">
        <v>2100210</v>
      </c>
      <c r="B644" s="239" t="s">
        <v>610</v>
      </c>
      <c r="C644" s="307">
        <v>0</v>
      </c>
      <c r="D644" s="343"/>
      <c r="E644" s="307">
        <v>0</v>
      </c>
      <c r="F644" s="414"/>
      <c r="G644" s="346">
        <f t="shared" si="214"/>
        <v>0</v>
      </c>
      <c r="H644" s="414"/>
      <c r="I644" s="343"/>
      <c r="J644" s="307">
        <f t="shared" si="215"/>
        <v>0</v>
      </c>
      <c r="K644" s="306"/>
      <c r="M644">
        <f t="shared" si="236"/>
        <v>0</v>
      </c>
      <c r="N644" s="415"/>
      <c r="O644" s="415"/>
    </row>
    <row r="645" customFormat="1" ht="20" customHeight="1" spans="1:17">
      <c r="A645" s="418">
        <v>2100211</v>
      </c>
      <c r="B645" s="239" t="s">
        <v>611</v>
      </c>
      <c r="C645" s="307">
        <v>0</v>
      </c>
      <c r="D645" s="343"/>
      <c r="E645" s="307">
        <v>0</v>
      </c>
      <c r="F645" s="414"/>
      <c r="G645" s="346">
        <f t="shared" si="214"/>
        <v>0</v>
      </c>
      <c r="H645" s="414"/>
      <c r="I645" s="343"/>
      <c r="J645" s="307">
        <f t="shared" si="215"/>
        <v>0</v>
      </c>
      <c r="K645" s="306"/>
      <c r="M645">
        <f t="shared" si="236"/>
        <v>0</v>
      </c>
      <c r="N645" s="415"/>
      <c r="O645" s="415"/>
    </row>
    <row r="646" customFormat="1" ht="20" customHeight="1" spans="1:17">
      <c r="A646" s="418">
        <v>2100299</v>
      </c>
      <c r="B646" s="239" t="s">
        <v>612</v>
      </c>
      <c r="C646" s="307">
        <v>13.42587</v>
      </c>
      <c r="D646" s="343">
        <v>43.45</v>
      </c>
      <c r="E646" s="307">
        <v>42</v>
      </c>
      <c r="F646" s="414">
        <f t="shared" ref="F646:F652" si="245">E646/D646*100</f>
        <v>96.662830840046</v>
      </c>
      <c r="G646" s="346">
        <f t="shared" ref="G646:G700" si="246">E646-C646</f>
        <v>28.57413</v>
      </c>
      <c r="H646" s="414">
        <f t="shared" ref="H646:H654" si="247">G646/C646*100</f>
        <v>212.828889301029</v>
      </c>
      <c r="I646" s="343"/>
      <c r="J646" s="307">
        <f t="shared" ref="J646:J709" si="248">I646-D646</f>
        <v>-43.45</v>
      </c>
      <c r="K646" s="306">
        <f t="shared" ref="K646:K652" si="249">J646/D646*100</f>
        <v>-100</v>
      </c>
      <c r="M646">
        <f t="shared" si="236"/>
        <v>0</v>
      </c>
      <c r="N646" s="415"/>
      <c r="O646" s="415"/>
      <c r="P646">
        <v>262</v>
      </c>
      <c r="Q646">
        <v>171</v>
      </c>
    </row>
    <row r="647" customFormat="1" ht="20" customHeight="1" spans="1:17">
      <c r="A647" s="416">
        <v>21003</v>
      </c>
      <c r="B647" s="427" t="s">
        <v>613</v>
      </c>
      <c r="C647" s="346">
        <f>SUM(C648:C650)</f>
        <v>3573.157158</v>
      </c>
      <c r="D647" s="346">
        <f t="shared" ref="D647:I647" si="250">SUM(D648:D650)</f>
        <v>4007.869052</v>
      </c>
      <c r="E647" s="346">
        <f t="shared" si="250"/>
        <v>4440</v>
      </c>
      <c r="F647" s="414">
        <f t="shared" si="245"/>
        <v>110.782062547287</v>
      </c>
      <c r="G647" s="346">
        <f t="shared" si="246"/>
        <v>866.842842</v>
      </c>
      <c r="H647" s="414">
        <f t="shared" si="247"/>
        <v>24.2598577020104</v>
      </c>
      <c r="I647" s="346">
        <f t="shared" si="250"/>
        <v>4176.3</v>
      </c>
      <c r="J647" s="307">
        <f t="shared" si="248"/>
        <v>168.430948</v>
      </c>
      <c r="K647" s="306">
        <f t="shared" si="249"/>
        <v>4.20250626491775</v>
      </c>
      <c r="M647">
        <f t="shared" si="236"/>
        <v>0</v>
      </c>
      <c r="N647" s="415"/>
      <c r="O647" s="415"/>
    </row>
    <row r="648" customFormat="1" ht="20" customHeight="1" spans="1:17">
      <c r="A648" s="418">
        <v>2100301</v>
      </c>
      <c r="B648" s="239" t="s">
        <v>614</v>
      </c>
      <c r="C648" s="307">
        <v>0</v>
      </c>
      <c r="D648" s="343"/>
      <c r="E648" s="307">
        <v>0</v>
      </c>
      <c r="F648" s="414"/>
      <c r="G648" s="346">
        <f t="shared" si="246"/>
        <v>0</v>
      </c>
      <c r="H648" s="414"/>
      <c r="I648" s="343"/>
      <c r="J648" s="307">
        <f t="shared" si="248"/>
        <v>0</v>
      </c>
      <c r="K648" s="306"/>
      <c r="M648">
        <f t="shared" si="236"/>
        <v>177</v>
      </c>
      <c r="N648" s="415">
        <v>177</v>
      </c>
      <c r="O648" s="415"/>
    </row>
    <row r="649" customFormat="1" ht="20" customHeight="1" spans="1:17">
      <c r="A649" s="418">
        <v>2100302</v>
      </c>
      <c r="B649" s="239" t="s">
        <v>615</v>
      </c>
      <c r="C649" s="343">
        <v>2404.643091</v>
      </c>
      <c r="D649" s="343">
        <v>3042.579207</v>
      </c>
      <c r="E649" s="343">
        <v>3137</v>
      </c>
      <c r="F649" s="414">
        <f t="shared" si="245"/>
        <v>103.1033142139</v>
      </c>
      <c r="G649" s="346">
        <f t="shared" si="246"/>
        <v>732.356909</v>
      </c>
      <c r="H649" s="414">
        <f t="shared" si="247"/>
        <v>30.455950479347</v>
      </c>
      <c r="I649" s="343">
        <v>2923.48</v>
      </c>
      <c r="J649" s="307">
        <f t="shared" si="248"/>
        <v>-119.099207</v>
      </c>
      <c r="K649" s="306">
        <f t="shared" si="249"/>
        <v>-3.91441599041994</v>
      </c>
      <c r="M649">
        <f t="shared" si="236"/>
        <v>2654</v>
      </c>
      <c r="N649" s="415">
        <v>2654</v>
      </c>
      <c r="O649" s="415"/>
      <c r="P649">
        <v>263</v>
      </c>
      <c r="Q649">
        <v>25</v>
      </c>
    </row>
    <row r="650" customFormat="1" ht="20" customHeight="1" spans="1:17">
      <c r="A650" s="418">
        <v>2100399</v>
      </c>
      <c r="B650" s="239" t="s">
        <v>616</v>
      </c>
      <c r="C650" s="343">
        <v>1168.514067</v>
      </c>
      <c r="D650" s="425">
        <f>16.8+322.04+493.79+132.659845</f>
        <v>965.289845</v>
      </c>
      <c r="E650" s="343">
        <v>1303</v>
      </c>
      <c r="F650" s="414">
        <f t="shared" si="245"/>
        <v>134.985362867875</v>
      </c>
      <c r="G650" s="346">
        <f t="shared" si="246"/>
        <v>134.485933</v>
      </c>
      <c r="H650" s="414">
        <f t="shared" si="247"/>
        <v>11.5091411218758</v>
      </c>
      <c r="I650" s="420">
        <f>361.98+377.88+342.11+170.85</f>
        <v>1252.82</v>
      </c>
      <c r="J650" s="307">
        <f t="shared" si="248"/>
        <v>287.530155</v>
      </c>
      <c r="K650" s="306">
        <f t="shared" si="249"/>
        <v>29.7869242579673</v>
      </c>
      <c r="M650">
        <f t="shared" si="236"/>
        <v>0</v>
      </c>
      <c r="N650" s="415"/>
      <c r="O650" s="415"/>
      <c r="P650">
        <v>553</v>
      </c>
      <c r="Q650">
        <v>150</v>
      </c>
    </row>
    <row r="651" customFormat="1" ht="20" customHeight="1" spans="1:17">
      <c r="A651" s="416">
        <v>21004</v>
      </c>
      <c r="B651" s="427" t="s">
        <v>617</v>
      </c>
      <c r="C651" s="346">
        <f>SUM(C652:C662)</f>
        <v>4081.394917</v>
      </c>
      <c r="D651" s="346">
        <f t="shared" ref="D651:I651" si="251">SUM(D652:D662)</f>
        <v>5161.116244</v>
      </c>
      <c r="E651" s="346">
        <f t="shared" si="251"/>
        <v>5484</v>
      </c>
      <c r="F651" s="414">
        <f t="shared" si="245"/>
        <v>106.256083775973</v>
      </c>
      <c r="G651" s="346">
        <f t="shared" si="246"/>
        <v>1402.605083</v>
      </c>
      <c r="H651" s="414">
        <f t="shared" si="247"/>
        <v>34.3658261825585</v>
      </c>
      <c r="I651" s="346">
        <f t="shared" si="251"/>
        <v>4561.001841</v>
      </c>
      <c r="J651" s="307">
        <f t="shared" si="248"/>
        <v>-600.114403</v>
      </c>
      <c r="K651" s="306">
        <f t="shared" si="249"/>
        <v>-11.6276087309147</v>
      </c>
      <c r="M651">
        <f t="shared" si="236"/>
        <v>0</v>
      </c>
      <c r="N651" s="415"/>
      <c r="O651" s="415"/>
    </row>
    <row r="652" customFormat="1" ht="20" customHeight="1" spans="1:17">
      <c r="A652" s="418">
        <v>2100401</v>
      </c>
      <c r="B652" s="239" t="s">
        <v>618</v>
      </c>
      <c r="C652" s="307">
        <v>635.608083</v>
      </c>
      <c r="D652" s="425">
        <v>726.490088</v>
      </c>
      <c r="E652" s="307">
        <v>750</v>
      </c>
      <c r="F652" s="414">
        <f t="shared" si="245"/>
        <v>103.236095356059</v>
      </c>
      <c r="G652" s="346">
        <f t="shared" si="246"/>
        <v>114.391917</v>
      </c>
      <c r="H652" s="414">
        <f t="shared" si="247"/>
        <v>17.9972407619618</v>
      </c>
      <c r="I652" s="420">
        <v>662.015841</v>
      </c>
      <c r="J652" s="307">
        <f t="shared" si="248"/>
        <v>-64.474247</v>
      </c>
      <c r="K652" s="306">
        <f t="shared" si="249"/>
        <v>-8.87475934840284</v>
      </c>
      <c r="M652">
        <f t="shared" si="236"/>
        <v>603</v>
      </c>
      <c r="N652" s="415">
        <v>603</v>
      </c>
      <c r="O652" s="415"/>
      <c r="Q652">
        <v>1532</v>
      </c>
    </row>
    <row r="653" customFormat="1" ht="20" customHeight="1" spans="1:17">
      <c r="A653" s="418">
        <v>2100402</v>
      </c>
      <c r="B653" s="239" t="s">
        <v>619</v>
      </c>
      <c r="C653" s="307">
        <v>185.825138</v>
      </c>
      <c r="D653" s="343"/>
      <c r="E653" s="307">
        <v>3</v>
      </c>
      <c r="F653" s="414"/>
      <c r="G653" s="346">
        <f t="shared" si="246"/>
        <v>-182.825138</v>
      </c>
      <c r="H653" s="414">
        <f t="shared" si="247"/>
        <v>-98.3855790275264</v>
      </c>
      <c r="I653" s="343"/>
      <c r="J653" s="307">
        <f t="shared" si="248"/>
        <v>0</v>
      </c>
      <c r="K653" s="306"/>
      <c r="M653">
        <f t="shared" si="236"/>
        <v>215</v>
      </c>
      <c r="N653" s="415">
        <v>215</v>
      </c>
      <c r="O653" s="415"/>
      <c r="Q653">
        <v>45</v>
      </c>
    </row>
    <row r="654" customFormat="1" ht="20" customHeight="1" spans="1:17">
      <c r="A654" s="418">
        <v>2100403</v>
      </c>
      <c r="B654" s="239" t="s">
        <v>620</v>
      </c>
      <c r="C654" s="307">
        <v>50</v>
      </c>
      <c r="D654" s="343"/>
      <c r="E654" s="307">
        <v>100</v>
      </c>
      <c r="F654" s="414"/>
      <c r="G654" s="346">
        <f t="shared" si="246"/>
        <v>50</v>
      </c>
      <c r="H654" s="414">
        <f t="shared" si="247"/>
        <v>100</v>
      </c>
      <c r="I654" s="420">
        <v>68</v>
      </c>
      <c r="J654" s="307">
        <f t="shared" si="248"/>
        <v>68</v>
      </c>
      <c r="K654" s="306"/>
      <c r="M654">
        <f t="shared" si="236"/>
        <v>0</v>
      </c>
      <c r="N654" s="415"/>
      <c r="O654" s="415"/>
    </row>
    <row r="655" customFormat="1" ht="20" customHeight="1" spans="1:17">
      <c r="A655" s="418">
        <v>2100404</v>
      </c>
      <c r="B655" s="239" t="s">
        <v>621</v>
      </c>
      <c r="C655" s="307">
        <v>0</v>
      </c>
      <c r="D655" s="343"/>
      <c r="E655" s="307">
        <v>0</v>
      </c>
      <c r="F655" s="414"/>
      <c r="G655" s="346">
        <f t="shared" si="246"/>
        <v>0</v>
      </c>
      <c r="H655" s="414"/>
      <c r="I655" s="343"/>
      <c r="J655" s="307">
        <f t="shared" si="248"/>
        <v>0</v>
      </c>
      <c r="K655" s="306"/>
      <c r="M655">
        <f t="shared" si="236"/>
        <v>0</v>
      </c>
      <c r="N655" s="415"/>
      <c r="O655" s="415"/>
    </row>
    <row r="656" customFormat="1" ht="20" customHeight="1" spans="1:17">
      <c r="A656" s="418">
        <v>2100405</v>
      </c>
      <c r="B656" s="239" t="s">
        <v>622</v>
      </c>
      <c r="C656" s="307">
        <v>0</v>
      </c>
      <c r="D656" s="343"/>
      <c r="E656" s="307">
        <v>0</v>
      </c>
      <c r="F656" s="414"/>
      <c r="G656" s="346">
        <f t="shared" si="246"/>
        <v>0</v>
      </c>
      <c r="H656" s="414"/>
      <c r="I656" s="343"/>
      <c r="J656" s="307">
        <f t="shared" si="248"/>
        <v>0</v>
      </c>
      <c r="K656" s="306"/>
      <c r="M656">
        <f t="shared" si="236"/>
        <v>0</v>
      </c>
      <c r="N656" s="415"/>
      <c r="O656" s="415"/>
    </row>
    <row r="657" customFormat="1" ht="20" customHeight="1" spans="1:17">
      <c r="A657" s="418">
        <v>2100406</v>
      </c>
      <c r="B657" s="239" t="s">
        <v>623</v>
      </c>
      <c r="C657" s="307">
        <v>0</v>
      </c>
      <c r="D657" s="343"/>
      <c r="E657" s="307">
        <v>0</v>
      </c>
      <c r="F657" s="414"/>
      <c r="G657" s="346">
        <f t="shared" si="246"/>
        <v>0</v>
      </c>
      <c r="H657" s="414"/>
      <c r="I657" s="343"/>
      <c r="J657" s="307">
        <f t="shared" si="248"/>
        <v>0</v>
      </c>
      <c r="K657" s="306"/>
      <c r="M657">
        <f t="shared" si="236"/>
        <v>0</v>
      </c>
      <c r="N657" s="415"/>
      <c r="O657" s="415"/>
    </row>
    <row r="658" customFormat="1" ht="20" customHeight="1" spans="1:17">
      <c r="A658" s="418">
        <v>2100407</v>
      </c>
      <c r="B658" s="239" t="s">
        <v>624</v>
      </c>
      <c r="C658" s="307">
        <v>0</v>
      </c>
      <c r="D658" s="343"/>
      <c r="E658" s="307">
        <v>0</v>
      </c>
      <c r="F658" s="414"/>
      <c r="G658" s="346">
        <f t="shared" si="246"/>
        <v>0</v>
      </c>
      <c r="H658" s="414"/>
      <c r="I658" s="343"/>
      <c r="J658" s="307">
        <f t="shared" si="248"/>
        <v>0</v>
      </c>
      <c r="K658" s="306"/>
      <c r="M658">
        <f t="shared" si="236"/>
        <v>0</v>
      </c>
      <c r="N658" s="415"/>
      <c r="O658" s="415"/>
    </row>
    <row r="659" customFormat="1" ht="20" customHeight="1" spans="1:17">
      <c r="A659" s="418">
        <v>2100408</v>
      </c>
      <c r="B659" s="239" t="s">
        <v>625</v>
      </c>
      <c r="C659" s="307">
        <v>2772.706825</v>
      </c>
      <c r="D659" s="425">
        <f>411.359+2327.25+882.96362-110</f>
        <v>3511.57262</v>
      </c>
      <c r="E659" s="307">
        <v>4044</v>
      </c>
      <c r="F659" s="414">
        <f>E659/D659*100</f>
        <v>115.162078009368</v>
      </c>
      <c r="G659" s="346">
        <f t="shared" si="246"/>
        <v>1271.293175</v>
      </c>
      <c r="H659" s="414">
        <f t="shared" ref="H659:H662" si="252">G659/C659*100</f>
        <v>45.8502559137315</v>
      </c>
      <c r="I659" s="420">
        <f>423.072+2404.04+271.76</f>
        <v>3098.872</v>
      </c>
      <c r="J659" s="307">
        <f t="shared" si="248"/>
        <v>-412.70062</v>
      </c>
      <c r="K659" s="306">
        <f>J659/D659*100</f>
        <v>-11.7525867940046</v>
      </c>
      <c r="M659">
        <f t="shared" si="236"/>
        <v>389</v>
      </c>
      <c r="N659" s="415">
        <v>389</v>
      </c>
      <c r="O659" s="415"/>
      <c r="P659">
        <v>2322</v>
      </c>
      <c r="Q659">
        <v>711</v>
      </c>
    </row>
    <row r="660" customFormat="1" ht="20" customHeight="1" spans="1:17">
      <c r="A660" s="418">
        <v>2100409</v>
      </c>
      <c r="B660" s="239" t="s">
        <v>626</v>
      </c>
      <c r="C660" s="307">
        <v>141.746164</v>
      </c>
      <c r="D660" s="425">
        <f>26.28+364.76+532.013536</f>
        <v>923.053536</v>
      </c>
      <c r="E660" s="307">
        <v>583</v>
      </c>
      <c r="F660" s="414">
        <f>E660/D660*100</f>
        <v>63.1599335534098</v>
      </c>
      <c r="G660" s="346">
        <f t="shared" si="246"/>
        <v>441.253836</v>
      </c>
      <c r="H660" s="414">
        <f t="shared" si="252"/>
        <v>311.298608405375</v>
      </c>
      <c r="I660" s="420">
        <f>39.42+209.17+354.124</f>
        <v>602.714</v>
      </c>
      <c r="J660" s="307">
        <f t="shared" si="248"/>
        <v>-320.339536</v>
      </c>
      <c r="K660" s="306">
        <f>J660/D660*100</f>
        <v>-34.7043290022129</v>
      </c>
      <c r="M660">
        <f t="shared" si="236"/>
        <v>13</v>
      </c>
      <c r="N660" s="415">
        <v>13</v>
      </c>
      <c r="O660" s="415"/>
      <c r="P660">
        <v>447</v>
      </c>
      <c r="Q660">
        <v>161</v>
      </c>
    </row>
    <row r="661" customFormat="1" ht="20" customHeight="1" spans="1:17">
      <c r="A661" s="418">
        <v>2100410</v>
      </c>
      <c r="B661" s="239" t="s">
        <v>627</v>
      </c>
      <c r="C661" s="307">
        <v>133.969207</v>
      </c>
      <c r="D661" s="343"/>
      <c r="E661" s="307"/>
      <c r="F661" s="414"/>
      <c r="G661" s="346">
        <f t="shared" si="246"/>
        <v>-133.969207</v>
      </c>
      <c r="H661" s="414">
        <f t="shared" si="252"/>
        <v>-100</v>
      </c>
      <c r="I661" s="343"/>
      <c r="J661" s="307">
        <f t="shared" si="248"/>
        <v>0</v>
      </c>
      <c r="K661" s="306"/>
      <c r="M661">
        <f t="shared" si="236"/>
        <v>0</v>
      </c>
      <c r="N661" s="415"/>
      <c r="O661" s="415"/>
      <c r="Q661">
        <v>200</v>
      </c>
    </row>
    <row r="662" customFormat="1" ht="20" customHeight="1" spans="1:17">
      <c r="A662" s="418">
        <v>2100499</v>
      </c>
      <c r="B662" s="239" t="s">
        <v>628</v>
      </c>
      <c r="C662" s="307">
        <v>161.5395</v>
      </c>
      <c r="D662" s="343"/>
      <c r="E662" s="307">
        <v>4</v>
      </c>
      <c r="F662" s="414"/>
      <c r="G662" s="346">
        <f t="shared" si="246"/>
        <v>-157.5395</v>
      </c>
      <c r="H662" s="414">
        <f t="shared" si="252"/>
        <v>-97.5238254420745</v>
      </c>
      <c r="I662" s="420">
        <f>16.2+113.2</f>
        <v>129.4</v>
      </c>
      <c r="J662" s="307">
        <f t="shared" si="248"/>
        <v>129.4</v>
      </c>
      <c r="K662" s="306"/>
      <c r="M662">
        <f t="shared" si="236"/>
        <v>0</v>
      </c>
      <c r="N662" s="415"/>
      <c r="O662" s="415"/>
      <c r="Q662">
        <v>505</v>
      </c>
    </row>
    <row r="663" customFormat="1" ht="20" customHeight="1" spans="1:17">
      <c r="A663" s="416">
        <v>21006</v>
      </c>
      <c r="B663" s="427" t="s">
        <v>629</v>
      </c>
      <c r="C663" s="307"/>
      <c r="D663" s="343"/>
      <c r="E663" s="307"/>
      <c r="F663" s="414"/>
      <c r="G663" s="346">
        <f t="shared" si="246"/>
        <v>0</v>
      </c>
      <c r="H663" s="414"/>
      <c r="I663" s="343"/>
      <c r="J663" s="307">
        <f t="shared" si="248"/>
        <v>0</v>
      </c>
      <c r="K663" s="306"/>
      <c r="N663" s="415"/>
      <c r="O663" s="415"/>
    </row>
    <row r="664" customFormat="1" ht="20" customHeight="1" spans="1:17">
      <c r="A664" s="418">
        <v>2100601</v>
      </c>
      <c r="B664" s="434" t="s">
        <v>630</v>
      </c>
      <c r="C664" s="307"/>
      <c r="D664" s="343"/>
      <c r="E664" s="307"/>
      <c r="F664" s="414"/>
      <c r="G664" s="346">
        <f t="shared" si="246"/>
        <v>0</v>
      </c>
      <c r="H664" s="414"/>
      <c r="I664" s="343"/>
      <c r="J664" s="307">
        <f t="shared" si="248"/>
        <v>0</v>
      </c>
      <c r="K664" s="306"/>
      <c r="N664" s="415"/>
      <c r="O664" s="415"/>
    </row>
    <row r="665" customFormat="1" ht="20" customHeight="1" spans="1:17">
      <c r="A665" s="418">
        <v>2100699</v>
      </c>
      <c r="B665" s="434" t="s">
        <v>631</v>
      </c>
      <c r="C665" s="307"/>
      <c r="D665" s="343"/>
      <c r="E665" s="307"/>
      <c r="F665" s="414"/>
      <c r="G665" s="346">
        <f t="shared" si="246"/>
        <v>0</v>
      </c>
      <c r="H665" s="414"/>
      <c r="I665" s="343"/>
      <c r="J665" s="307">
        <f t="shared" si="248"/>
        <v>0</v>
      </c>
      <c r="K665" s="306"/>
      <c r="N665" s="415"/>
      <c r="O665" s="415"/>
    </row>
    <row r="666" customFormat="1" ht="20" customHeight="1" spans="1:17">
      <c r="A666" s="416">
        <v>21007</v>
      </c>
      <c r="B666" s="427" t="s">
        <v>632</v>
      </c>
      <c r="C666" s="346">
        <f>SUM(C667:C669)</f>
        <v>3291.552408</v>
      </c>
      <c r="D666" s="346">
        <f t="shared" ref="D666:I666" si="253">SUM(D667:D669)</f>
        <v>1323.93</v>
      </c>
      <c r="E666" s="346">
        <f t="shared" si="253"/>
        <v>2821</v>
      </c>
      <c r="F666" s="414">
        <f t="shared" ref="F666:F675" si="254">E666/D666*100</f>
        <v>213.077730695732</v>
      </c>
      <c r="G666" s="346">
        <f t="shared" si="246"/>
        <v>-470.552408</v>
      </c>
      <c r="H666" s="414">
        <f t="shared" ref="H666:H675" si="255">G666/C666*100</f>
        <v>-14.295759255005</v>
      </c>
      <c r="I666" s="346">
        <f t="shared" si="253"/>
        <v>1774.3</v>
      </c>
      <c r="J666" s="307">
        <f t="shared" si="248"/>
        <v>450.37</v>
      </c>
      <c r="K666" s="306">
        <f t="shared" ref="K666:K675" si="256">J666/D666*100</f>
        <v>34.0176595439336</v>
      </c>
      <c r="M666">
        <f t="shared" ref="M666:M697" si="257">N666+O666</f>
        <v>0</v>
      </c>
      <c r="N666" s="415"/>
      <c r="O666" s="415"/>
    </row>
    <row r="667" customFormat="1" ht="20" customHeight="1" spans="1:17">
      <c r="A667" s="418">
        <v>2100716</v>
      </c>
      <c r="B667" s="239" t="s">
        <v>633</v>
      </c>
      <c r="C667" s="307">
        <v>0</v>
      </c>
      <c r="D667" s="343"/>
      <c r="E667" s="307">
        <v>0</v>
      </c>
      <c r="F667" s="414"/>
      <c r="G667" s="346">
        <f t="shared" si="246"/>
        <v>0</v>
      </c>
      <c r="H667" s="414"/>
      <c r="I667" s="343"/>
      <c r="J667" s="307">
        <f t="shared" si="248"/>
        <v>0</v>
      </c>
      <c r="K667" s="306"/>
      <c r="M667">
        <f t="shared" si="257"/>
        <v>0</v>
      </c>
      <c r="N667" s="415"/>
      <c r="O667" s="415"/>
    </row>
    <row r="668" customFormat="1" ht="20" customHeight="1" spans="1:17">
      <c r="A668" s="418">
        <v>2100717</v>
      </c>
      <c r="B668" s="239" t="s">
        <v>634</v>
      </c>
      <c r="C668" s="307">
        <v>1419.898</v>
      </c>
      <c r="D668" s="425">
        <f>1323.93</f>
        <v>1323.93</v>
      </c>
      <c r="E668" s="307">
        <v>2593</v>
      </c>
      <c r="F668" s="414">
        <f t="shared" si="254"/>
        <v>195.856276389235</v>
      </c>
      <c r="G668" s="346">
        <f t="shared" si="246"/>
        <v>1173.102</v>
      </c>
      <c r="H668" s="414">
        <f t="shared" si="255"/>
        <v>82.6187514877829</v>
      </c>
      <c r="I668" s="420">
        <f>237.9+453.84+1057.36</f>
        <v>1749.1</v>
      </c>
      <c r="J668" s="307">
        <f t="shared" si="248"/>
        <v>425.17</v>
      </c>
      <c r="K668" s="306">
        <f t="shared" si="256"/>
        <v>32.1142356468997</v>
      </c>
      <c r="M668">
        <f t="shared" si="257"/>
        <v>270</v>
      </c>
      <c r="N668" s="415">
        <v>270</v>
      </c>
      <c r="O668" s="415"/>
      <c r="Q668">
        <v>625</v>
      </c>
    </row>
    <row r="669" customFormat="1" ht="20" customHeight="1" spans="1:17">
      <c r="A669" s="418">
        <v>2100799</v>
      </c>
      <c r="B669" s="239" t="s">
        <v>635</v>
      </c>
      <c r="C669" s="307">
        <v>1871.654408</v>
      </c>
      <c r="D669" s="343"/>
      <c r="E669" s="307">
        <v>228</v>
      </c>
      <c r="F669" s="414"/>
      <c r="G669" s="346">
        <f t="shared" si="246"/>
        <v>-1643.654408</v>
      </c>
      <c r="H669" s="414">
        <f t="shared" si="255"/>
        <v>-87.8182639366829</v>
      </c>
      <c r="I669" s="420">
        <v>25.2</v>
      </c>
      <c r="J669" s="307">
        <f t="shared" si="248"/>
        <v>25.2</v>
      </c>
      <c r="K669" s="306"/>
      <c r="M669">
        <f t="shared" si="257"/>
        <v>261</v>
      </c>
      <c r="N669" s="415">
        <v>261</v>
      </c>
      <c r="O669" s="415"/>
      <c r="P669">
        <v>1148</v>
      </c>
      <c r="Q669">
        <v>77</v>
      </c>
    </row>
    <row r="670" customFormat="1" ht="20" customHeight="1" spans="1:17">
      <c r="A670" s="416">
        <v>21011</v>
      </c>
      <c r="B670" s="427" t="s">
        <v>636</v>
      </c>
      <c r="C670" s="346">
        <f>SUM(C671:C674)</f>
        <v>6998.011369</v>
      </c>
      <c r="D670" s="346">
        <f t="shared" ref="D670:I670" si="258">SUM(D671:D674)</f>
        <v>5826.704949</v>
      </c>
      <c r="E670" s="346">
        <f t="shared" si="258"/>
        <v>6020</v>
      </c>
      <c r="F670" s="414">
        <f t="shared" si="254"/>
        <v>103.317398987796</v>
      </c>
      <c r="G670" s="346">
        <f t="shared" si="246"/>
        <v>-978.011369000001</v>
      </c>
      <c r="H670" s="414">
        <f t="shared" si="255"/>
        <v>-13.9755613049219</v>
      </c>
      <c r="I670" s="346">
        <f t="shared" si="258"/>
        <v>6325.49</v>
      </c>
      <c r="J670" s="307">
        <f t="shared" si="248"/>
        <v>498.785051000001</v>
      </c>
      <c r="K670" s="306">
        <f t="shared" si="256"/>
        <v>8.56032792746103</v>
      </c>
      <c r="M670">
        <f t="shared" si="257"/>
        <v>0</v>
      </c>
      <c r="N670" s="415"/>
      <c r="O670" s="415"/>
    </row>
    <row r="671" s="278" customFormat="1" ht="20" customHeight="1" spans="1:17">
      <c r="A671" s="418">
        <v>2101101</v>
      </c>
      <c r="B671" s="433" t="s">
        <v>637</v>
      </c>
      <c r="C671" s="307">
        <v>1770.494032</v>
      </c>
      <c r="D671" s="343">
        <v>1479.247802</v>
      </c>
      <c r="E671" s="307">
        <v>1562</v>
      </c>
      <c r="F671" s="414">
        <f t="shared" si="254"/>
        <v>105.594207940557</v>
      </c>
      <c r="G671" s="346">
        <f t="shared" si="246"/>
        <v>-208.494032</v>
      </c>
      <c r="H671" s="414">
        <f t="shared" si="255"/>
        <v>-11.7760369835576</v>
      </c>
      <c r="I671" s="343">
        <v>1564.77</v>
      </c>
      <c r="J671" s="307">
        <f t="shared" si="248"/>
        <v>85.5221979999999</v>
      </c>
      <c r="K671" s="306">
        <f t="shared" si="256"/>
        <v>5.78146527474103</v>
      </c>
      <c r="M671" s="278">
        <f t="shared" si="257"/>
        <v>1776</v>
      </c>
      <c r="N671" s="415">
        <v>1776</v>
      </c>
      <c r="O671" s="415"/>
    </row>
    <row r="672" s="278" customFormat="1" ht="20" customHeight="1" spans="1:17">
      <c r="A672" s="418">
        <v>2101102</v>
      </c>
      <c r="B672" s="433" t="s">
        <v>638</v>
      </c>
      <c r="C672" s="307">
        <v>4095.608925</v>
      </c>
      <c r="D672" s="343">
        <v>3179.369471</v>
      </c>
      <c r="E672" s="307">
        <v>3402</v>
      </c>
      <c r="F672" s="414">
        <f t="shared" si="254"/>
        <v>107.002348454015</v>
      </c>
      <c r="G672" s="346">
        <f t="shared" si="246"/>
        <v>-693.608925</v>
      </c>
      <c r="H672" s="414">
        <f t="shared" si="255"/>
        <v>-16.9354285944184</v>
      </c>
      <c r="I672" s="343">
        <v>3564.28</v>
      </c>
      <c r="J672" s="307">
        <f t="shared" si="248"/>
        <v>384.910529</v>
      </c>
      <c r="K672" s="306">
        <f t="shared" si="256"/>
        <v>12.1065051580474</v>
      </c>
      <c r="M672" s="278">
        <f t="shared" si="257"/>
        <v>3985</v>
      </c>
      <c r="N672" s="415">
        <v>3985</v>
      </c>
      <c r="O672" s="415"/>
    </row>
    <row r="673" s="278" customFormat="1" ht="20" customHeight="1" spans="1:17">
      <c r="A673" s="418">
        <v>2101103</v>
      </c>
      <c r="B673" s="433" t="s">
        <v>639</v>
      </c>
      <c r="C673" s="307">
        <v>1080.617648</v>
      </c>
      <c r="D673" s="343">
        <v>1067.835676</v>
      </c>
      <c r="E673" s="307">
        <v>998</v>
      </c>
      <c r="F673" s="414">
        <f t="shared" si="254"/>
        <v>93.460072783708</v>
      </c>
      <c r="G673" s="346">
        <f t="shared" si="246"/>
        <v>-82.6176479999999</v>
      </c>
      <c r="H673" s="414">
        <f t="shared" si="255"/>
        <v>-7.64540984065068</v>
      </c>
      <c r="I673" s="343">
        <v>1116.15</v>
      </c>
      <c r="J673" s="307">
        <f t="shared" si="248"/>
        <v>48.3143240000002</v>
      </c>
      <c r="K673" s="306">
        <f t="shared" si="256"/>
        <v>4.52450925604776</v>
      </c>
      <c r="M673" s="278">
        <f t="shared" si="257"/>
        <v>1152</v>
      </c>
      <c r="N673" s="415">
        <v>1152</v>
      </c>
      <c r="O673" s="415"/>
    </row>
    <row r="674" s="278" customFormat="1" ht="20" customHeight="1" spans="1:17">
      <c r="A674" s="418">
        <v>2101199</v>
      </c>
      <c r="B674" s="433" t="s">
        <v>640</v>
      </c>
      <c r="C674" s="307">
        <v>51.290764</v>
      </c>
      <c r="D674" s="343">
        <v>100.252</v>
      </c>
      <c r="E674" s="307">
        <v>58</v>
      </c>
      <c r="F674" s="414">
        <f t="shared" si="254"/>
        <v>57.8542073973587</v>
      </c>
      <c r="G674" s="346">
        <f t="shared" si="246"/>
        <v>6.709236</v>
      </c>
      <c r="H674" s="414">
        <f t="shared" si="255"/>
        <v>13.0807878003143</v>
      </c>
      <c r="I674" s="343">
        <v>80.29</v>
      </c>
      <c r="J674" s="307">
        <f t="shared" si="248"/>
        <v>-19.962</v>
      </c>
      <c r="K674" s="306">
        <f t="shared" si="256"/>
        <v>-19.9118222080357</v>
      </c>
      <c r="M674" s="278">
        <f t="shared" si="257"/>
        <v>235</v>
      </c>
      <c r="N674" s="415">
        <v>235</v>
      </c>
      <c r="O674" s="415"/>
    </row>
    <row r="675" customFormat="1" ht="20" customHeight="1" spans="1:17">
      <c r="A675" s="416">
        <v>21012</v>
      </c>
      <c r="B675" s="427" t="s">
        <v>641</v>
      </c>
      <c r="C675" s="346">
        <f>SUM(C676:C678)</f>
        <v>2034.8972</v>
      </c>
      <c r="D675" s="346">
        <f t="shared" ref="D675:I675" si="259">SUM(D676:D678)</f>
        <v>2157.4</v>
      </c>
      <c r="E675" s="346">
        <f t="shared" si="259"/>
        <v>2060</v>
      </c>
      <c r="F675" s="414">
        <f t="shared" si="254"/>
        <v>95.4853063873181</v>
      </c>
      <c r="G675" s="346">
        <f t="shared" si="246"/>
        <v>25.1027999999999</v>
      </c>
      <c r="H675" s="414">
        <f t="shared" si="255"/>
        <v>1.233615142819</v>
      </c>
      <c r="I675" s="346">
        <f t="shared" si="259"/>
        <v>48.2</v>
      </c>
      <c r="J675" s="307">
        <f t="shared" si="248"/>
        <v>-2109.2</v>
      </c>
      <c r="K675" s="306">
        <f t="shared" si="256"/>
        <v>-97.7658292388987</v>
      </c>
      <c r="M675">
        <f t="shared" si="257"/>
        <v>0</v>
      </c>
      <c r="N675" s="415"/>
      <c r="O675" s="415"/>
    </row>
    <row r="676" s="278" customFormat="1" ht="20" customHeight="1" spans="1:17">
      <c r="A676" s="418">
        <v>2101201</v>
      </c>
      <c r="B676" s="433" t="s">
        <v>642</v>
      </c>
      <c r="C676" s="307">
        <v>0</v>
      </c>
      <c r="D676" s="343"/>
      <c r="E676" s="307">
        <v>0</v>
      </c>
      <c r="F676" s="414"/>
      <c r="G676" s="346">
        <f t="shared" si="246"/>
        <v>0</v>
      </c>
      <c r="H676" s="414"/>
      <c r="I676" s="420">
        <v>36.15</v>
      </c>
      <c r="J676" s="307">
        <f t="shared" si="248"/>
        <v>36.15</v>
      </c>
      <c r="K676" s="306"/>
      <c r="M676" s="278">
        <f t="shared" si="257"/>
        <v>0</v>
      </c>
      <c r="N676" s="415"/>
      <c r="O676" s="415"/>
    </row>
    <row r="677" s="278" customFormat="1" ht="20" customHeight="1" spans="1:17">
      <c r="A677" s="418">
        <v>2101202</v>
      </c>
      <c r="B677" s="433" t="s">
        <v>643</v>
      </c>
      <c r="C677" s="307">
        <v>2034.8972</v>
      </c>
      <c r="D677" s="425">
        <v>2157.4</v>
      </c>
      <c r="E677" s="307">
        <v>2060</v>
      </c>
      <c r="F677" s="414">
        <f t="shared" ref="F677:F680" si="260">E677/D677*100</f>
        <v>95.4853063873181</v>
      </c>
      <c r="G677" s="346">
        <f t="shared" si="246"/>
        <v>25.1027999999999</v>
      </c>
      <c r="H677" s="414">
        <f t="shared" ref="H677:H680" si="261">G677/C677*100</f>
        <v>1.233615142819</v>
      </c>
      <c r="I677" s="420">
        <v>12.05</v>
      </c>
      <c r="J677" s="307">
        <f t="shared" si="248"/>
        <v>-2145.35</v>
      </c>
      <c r="K677" s="306">
        <f t="shared" ref="K677:K680" si="262">J677/D677*100</f>
        <v>-99.4414573097247</v>
      </c>
      <c r="M677" s="278">
        <f t="shared" si="257"/>
        <v>2080</v>
      </c>
      <c r="N677" s="415">
        <v>2080</v>
      </c>
      <c r="O677" s="415"/>
    </row>
    <row r="678" s="278" customFormat="1" ht="20" customHeight="1" spans="1:17">
      <c r="A678" s="418">
        <v>2101299</v>
      </c>
      <c r="B678" s="433" t="s">
        <v>644</v>
      </c>
      <c r="C678" s="307">
        <v>0</v>
      </c>
      <c r="D678" s="343"/>
      <c r="E678" s="307">
        <v>0</v>
      </c>
      <c r="F678" s="414"/>
      <c r="G678" s="346">
        <f t="shared" si="246"/>
        <v>0</v>
      </c>
      <c r="H678" s="414"/>
      <c r="I678" s="343"/>
      <c r="J678" s="307">
        <f t="shared" si="248"/>
        <v>0</v>
      </c>
      <c r="K678" s="306"/>
      <c r="M678" s="278">
        <f t="shared" si="257"/>
        <v>0</v>
      </c>
      <c r="N678" s="415"/>
      <c r="O678" s="415"/>
    </row>
    <row r="679" customFormat="1" ht="20" customHeight="1" spans="1:17">
      <c r="A679" s="416">
        <v>21013</v>
      </c>
      <c r="B679" s="427" t="s">
        <v>645</v>
      </c>
      <c r="C679" s="371">
        <f>SUM(C680:C682)</f>
        <v>2343</v>
      </c>
      <c r="D679" s="371">
        <f t="shared" ref="D679:I679" si="263">SUM(D680:D682)</f>
        <v>2731.784</v>
      </c>
      <c r="E679" s="371">
        <f t="shared" si="263"/>
        <v>3753</v>
      </c>
      <c r="F679" s="414">
        <f t="shared" si="260"/>
        <v>137.382750612786</v>
      </c>
      <c r="G679" s="346">
        <f t="shared" si="246"/>
        <v>1410</v>
      </c>
      <c r="H679" s="414">
        <f t="shared" si="261"/>
        <v>60.179257362356</v>
      </c>
      <c r="I679" s="371">
        <f t="shared" si="263"/>
        <v>2924</v>
      </c>
      <c r="J679" s="307">
        <f t="shared" si="248"/>
        <v>192.216</v>
      </c>
      <c r="K679" s="306">
        <f t="shared" si="262"/>
        <v>7.03628105296758</v>
      </c>
      <c r="M679">
        <f t="shared" si="257"/>
        <v>0</v>
      </c>
      <c r="N679" s="415"/>
      <c r="O679" s="415"/>
    </row>
    <row r="680" s="278" customFormat="1" ht="20" customHeight="1" spans="1:17">
      <c r="A680" s="418">
        <v>2101301</v>
      </c>
      <c r="B680" s="433" t="s">
        <v>646</v>
      </c>
      <c r="C680" s="307">
        <v>2343</v>
      </c>
      <c r="D680" s="425">
        <f>1503.784+1228</f>
        <v>2731.784</v>
      </c>
      <c r="E680" s="307">
        <v>3753</v>
      </c>
      <c r="F680" s="414">
        <f t="shared" si="260"/>
        <v>137.382750612786</v>
      </c>
      <c r="G680" s="346">
        <f t="shared" si="246"/>
        <v>1410</v>
      </c>
      <c r="H680" s="414">
        <f t="shared" si="261"/>
        <v>60.179257362356</v>
      </c>
      <c r="I680" s="420">
        <f>761+2003</f>
        <v>2764</v>
      </c>
      <c r="J680" s="307">
        <f t="shared" si="248"/>
        <v>32.2159999999999</v>
      </c>
      <c r="K680" s="306">
        <f t="shared" si="262"/>
        <v>1.17930260957674</v>
      </c>
      <c r="M680" s="278">
        <f t="shared" si="257"/>
        <v>600</v>
      </c>
      <c r="N680" s="415">
        <v>600</v>
      </c>
      <c r="O680" s="415"/>
      <c r="P680" s="278">
        <v>1228</v>
      </c>
    </row>
    <row r="681" s="278" customFormat="1" ht="20" customHeight="1" spans="1:17">
      <c r="A681" s="418">
        <v>2101302</v>
      </c>
      <c r="B681" s="433" t="s">
        <v>647</v>
      </c>
      <c r="C681" s="307">
        <v>0</v>
      </c>
      <c r="D681" s="343"/>
      <c r="E681" s="307">
        <v>0</v>
      </c>
      <c r="F681" s="414"/>
      <c r="G681" s="346">
        <f t="shared" si="246"/>
        <v>0</v>
      </c>
      <c r="H681" s="414"/>
      <c r="I681" s="343"/>
      <c r="J681" s="307">
        <f t="shared" si="248"/>
        <v>0</v>
      </c>
      <c r="K681" s="306"/>
      <c r="M681" s="278">
        <f t="shared" si="257"/>
        <v>0</v>
      </c>
      <c r="N681" s="415"/>
      <c r="O681" s="415"/>
    </row>
    <row r="682" s="278" customFormat="1" ht="20" customHeight="1" spans="1:17">
      <c r="A682" s="418">
        <v>2101399</v>
      </c>
      <c r="B682" s="433" t="s">
        <v>648</v>
      </c>
      <c r="C682" s="307">
        <v>0</v>
      </c>
      <c r="D682" s="343"/>
      <c r="E682" s="307">
        <v>0</v>
      </c>
      <c r="F682" s="414"/>
      <c r="G682" s="346">
        <f t="shared" si="246"/>
        <v>0</v>
      </c>
      <c r="H682" s="414"/>
      <c r="I682" s="420">
        <v>160</v>
      </c>
      <c r="J682" s="307">
        <f t="shared" si="248"/>
        <v>160</v>
      </c>
      <c r="K682" s="306"/>
      <c r="M682" s="278">
        <f t="shared" si="257"/>
        <v>0</v>
      </c>
      <c r="N682" s="415"/>
      <c r="O682" s="415"/>
    </row>
    <row r="683" customFormat="1" spans="1:17">
      <c r="A683" s="416">
        <v>21014</v>
      </c>
      <c r="B683" s="427" t="s">
        <v>649</v>
      </c>
      <c r="C683" s="371">
        <f>SUM(C684:C685)</f>
        <v>99.641411</v>
      </c>
      <c r="D683" s="371">
        <f t="shared" ref="D683:I683" si="264">SUM(D684:D685)</f>
        <v>16.16</v>
      </c>
      <c r="E683" s="371">
        <f t="shared" si="264"/>
        <v>77</v>
      </c>
      <c r="F683" s="414">
        <f t="shared" ref="F683:F687" si="265">E683/D683*100</f>
        <v>476.485148514851</v>
      </c>
      <c r="G683" s="346">
        <f t="shared" si="246"/>
        <v>-22.641411</v>
      </c>
      <c r="H683" s="414">
        <f t="shared" ref="H683:H688" si="266">G683/C683*100</f>
        <v>-22.7228927940412</v>
      </c>
      <c r="I683" s="371">
        <f t="shared" si="264"/>
        <v>155.33</v>
      </c>
      <c r="J683" s="307">
        <f t="shared" si="248"/>
        <v>139.17</v>
      </c>
      <c r="K683" s="306">
        <f t="shared" ref="K683:K687" si="267">J683/D683*100</f>
        <v>861.200495049505</v>
      </c>
      <c r="M683">
        <f t="shared" si="257"/>
        <v>0</v>
      </c>
      <c r="N683" s="415"/>
      <c r="O683" s="415"/>
    </row>
    <row r="684" s="278" customFormat="1" ht="20" customHeight="1" spans="1:17">
      <c r="A684" s="418">
        <v>2101401</v>
      </c>
      <c r="B684" s="433" t="s">
        <v>650</v>
      </c>
      <c r="C684" s="307">
        <v>99.641411</v>
      </c>
      <c r="D684" s="343">
        <f>13.53+2.63</f>
        <v>16.16</v>
      </c>
      <c r="E684" s="307">
        <v>77</v>
      </c>
      <c r="F684" s="414">
        <f t="shared" si="265"/>
        <v>476.485148514851</v>
      </c>
      <c r="G684" s="346">
        <f t="shared" si="246"/>
        <v>-22.641411</v>
      </c>
      <c r="H684" s="414">
        <f t="shared" si="266"/>
        <v>-22.7228927940412</v>
      </c>
      <c r="I684" s="343">
        <f>19.16+118.47+17.7</f>
        <v>155.33</v>
      </c>
      <c r="J684" s="307">
        <f t="shared" si="248"/>
        <v>139.17</v>
      </c>
      <c r="K684" s="306">
        <f t="shared" si="267"/>
        <v>861.200495049505</v>
      </c>
      <c r="M684" s="278">
        <f t="shared" si="257"/>
        <v>0</v>
      </c>
      <c r="N684" s="415"/>
      <c r="O684" s="415"/>
      <c r="P684" s="278">
        <v>136</v>
      </c>
      <c r="Q684" s="278">
        <v>35</v>
      </c>
    </row>
    <row r="685" s="278" customFormat="1" ht="20" customHeight="1" spans="1:17">
      <c r="A685" s="418">
        <v>2101499</v>
      </c>
      <c r="B685" s="433" t="s">
        <v>651</v>
      </c>
      <c r="C685" s="307">
        <v>0</v>
      </c>
      <c r="D685" s="343"/>
      <c r="E685" s="307">
        <v>0</v>
      </c>
      <c r="F685" s="414"/>
      <c r="G685" s="346">
        <f t="shared" si="246"/>
        <v>0</v>
      </c>
      <c r="H685" s="414"/>
      <c r="I685" s="343"/>
      <c r="J685" s="307">
        <f t="shared" si="248"/>
        <v>0</v>
      </c>
      <c r="K685" s="306"/>
      <c r="M685" s="278">
        <f t="shared" si="257"/>
        <v>0</v>
      </c>
      <c r="N685" s="415"/>
      <c r="O685" s="415"/>
    </row>
    <row r="686" customFormat="1" ht="20" customHeight="1" spans="1:17">
      <c r="A686" s="416">
        <v>21015</v>
      </c>
      <c r="B686" s="427" t="s">
        <v>652</v>
      </c>
      <c r="C686" s="346">
        <f>SUM(C687:C692)</f>
        <v>498.809886</v>
      </c>
      <c r="D686" s="346">
        <f t="shared" ref="D686:I686" si="268">SUM(D687:D692)</f>
        <v>489.247066</v>
      </c>
      <c r="E686" s="346">
        <f t="shared" si="268"/>
        <v>508</v>
      </c>
      <c r="F686" s="414">
        <f t="shared" si="265"/>
        <v>103.833019205066</v>
      </c>
      <c r="G686" s="346">
        <f t="shared" si="246"/>
        <v>9.19011399999999</v>
      </c>
      <c r="H686" s="414">
        <f t="shared" si="266"/>
        <v>1.84240815146955</v>
      </c>
      <c r="I686" s="346">
        <f t="shared" si="268"/>
        <v>468.060993</v>
      </c>
      <c r="J686" s="307">
        <f t="shared" si="248"/>
        <v>-21.186073</v>
      </c>
      <c r="K686" s="306">
        <f t="shared" si="267"/>
        <v>-4.33034237143489</v>
      </c>
      <c r="M686">
        <f t="shared" si="257"/>
        <v>0</v>
      </c>
      <c r="N686" s="415"/>
      <c r="O686" s="415"/>
    </row>
    <row r="687" s="278" customFormat="1" ht="20" customHeight="1" spans="1:17">
      <c r="A687" s="418">
        <v>2101501</v>
      </c>
      <c r="B687" s="433" t="s">
        <v>165</v>
      </c>
      <c r="C687" s="307">
        <v>71.990211</v>
      </c>
      <c r="D687" s="425">
        <v>71.541249</v>
      </c>
      <c r="E687" s="307">
        <v>70</v>
      </c>
      <c r="F687" s="414">
        <f t="shared" si="265"/>
        <v>97.8456498571894</v>
      </c>
      <c r="G687" s="346">
        <f t="shared" si="246"/>
        <v>-1.990211</v>
      </c>
      <c r="H687" s="414">
        <f t="shared" si="266"/>
        <v>-2.76455780911658</v>
      </c>
      <c r="I687" s="420">
        <v>68.749326</v>
      </c>
      <c r="J687" s="307">
        <f t="shared" si="248"/>
        <v>-2.791923</v>
      </c>
      <c r="K687" s="306">
        <f t="shared" si="267"/>
        <v>-3.90253600408905</v>
      </c>
      <c r="M687" s="278">
        <f t="shared" si="257"/>
        <v>72</v>
      </c>
      <c r="N687" s="415">
        <v>72</v>
      </c>
      <c r="O687" s="415"/>
    </row>
    <row r="688" customFormat="1" ht="20" customHeight="1" spans="1:17">
      <c r="A688" s="418">
        <v>2101502</v>
      </c>
      <c r="B688" s="239" t="s">
        <v>166</v>
      </c>
      <c r="C688" s="307">
        <v>9.28505</v>
      </c>
      <c r="D688" s="343"/>
      <c r="E688" s="307"/>
      <c r="F688" s="414"/>
      <c r="G688" s="346">
        <f t="shared" si="246"/>
        <v>-9.28505</v>
      </c>
      <c r="H688" s="414">
        <f t="shared" si="266"/>
        <v>-100</v>
      </c>
      <c r="I688" s="343"/>
      <c r="J688" s="307">
        <f t="shared" si="248"/>
        <v>0</v>
      </c>
      <c r="K688" s="306"/>
      <c r="M688">
        <f t="shared" si="257"/>
        <v>0</v>
      </c>
      <c r="N688" s="415"/>
      <c r="O688" s="415"/>
    </row>
    <row r="689" s="278" customFormat="1" ht="20" customHeight="1" spans="1:17">
      <c r="A689" s="418">
        <v>2101505</v>
      </c>
      <c r="B689" s="433" t="s">
        <v>653</v>
      </c>
      <c r="C689" s="307">
        <v>0</v>
      </c>
      <c r="D689" s="343"/>
      <c r="E689" s="307">
        <v>0</v>
      </c>
      <c r="F689" s="414"/>
      <c r="G689" s="346">
        <f t="shared" si="246"/>
        <v>0</v>
      </c>
      <c r="H689" s="414"/>
      <c r="I689" s="343"/>
      <c r="J689" s="307">
        <f t="shared" si="248"/>
        <v>0</v>
      </c>
      <c r="K689" s="306"/>
      <c r="M689" s="278">
        <f t="shared" si="257"/>
        <v>0</v>
      </c>
      <c r="N689" s="415"/>
      <c r="O689" s="415"/>
      <c r="P689" s="278">
        <v>79</v>
      </c>
    </row>
    <row r="690" s="278" customFormat="1" ht="20" customHeight="1" spans="1:17">
      <c r="A690" s="418">
        <v>2101506</v>
      </c>
      <c r="B690" s="433" t="s">
        <v>654</v>
      </c>
      <c r="C690" s="307">
        <v>0</v>
      </c>
      <c r="D690" s="343"/>
      <c r="E690" s="307">
        <v>0</v>
      </c>
      <c r="F690" s="414"/>
      <c r="G690" s="346">
        <f t="shared" si="246"/>
        <v>0</v>
      </c>
      <c r="H690" s="414"/>
      <c r="I690" s="343"/>
      <c r="J690" s="307">
        <f t="shared" si="248"/>
        <v>0</v>
      </c>
      <c r="K690" s="306"/>
      <c r="M690" s="278">
        <f t="shared" si="257"/>
        <v>0</v>
      </c>
      <c r="N690" s="415"/>
      <c r="O690" s="415"/>
    </row>
    <row r="691" s="278" customFormat="1" ht="20" customHeight="1" spans="1:17">
      <c r="A691" s="418">
        <v>2101550</v>
      </c>
      <c r="B691" s="433" t="s">
        <v>174</v>
      </c>
      <c r="C691" s="307">
        <v>310.612614</v>
      </c>
      <c r="D691" s="425">
        <v>334.162217</v>
      </c>
      <c r="E691" s="307">
        <v>339</v>
      </c>
      <c r="F691" s="414">
        <f t="shared" ref="F691:F695" si="269">E691/D691*100</f>
        <v>101.447734888592</v>
      </c>
      <c r="G691" s="346">
        <f t="shared" si="246"/>
        <v>28.387386</v>
      </c>
      <c r="H691" s="414">
        <f t="shared" ref="H691:H696" si="270">G691/C691*100</f>
        <v>9.13916071676342</v>
      </c>
      <c r="I691" s="420">
        <v>357.311667</v>
      </c>
      <c r="J691" s="307">
        <f t="shared" si="248"/>
        <v>23.14945</v>
      </c>
      <c r="K691" s="306">
        <f t="shared" ref="K691:K695" si="271">J691/D691*100</f>
        <v>6.92760845550651</v>
      </c>
      <c r="M691" s="278">
        <f t="shared" si="257"/>
        <v>353</v>
      </c>
      <c r="N691" s="415">
        <v>353</v>
      </c>
      <c r="O691" s="415"/>
    </row>
    <row r="692" s="278" customFormat="1" ht="20" customHeight="1" spans="1:17">
      <c r="A692" s="418">
        <v>2101599</v>
      </c>
      <c r="B692" s="433" t="s">
        <v>655</v>
      </c>
      <c r="C692" s="307">
        <v>106.922011</v>
      </c>
      <c r="D692" s="343">
        <f>79+4.5436</f>
        <v>83.5436</v>
      </c>
      <c r="E692" s="307">
        <v>99</v>
      </c>
      <c r="F692" s="414">
        <f t="shared" si="269"/>
        <v>118.500998281137</v>
      </c>
      <c r="G692" s="346">
        <f t="shared" si="246"/>
        <v>-7.922011</v>
      </c>
      <c r="H692" s="414">
        <f t="shared" si="270"/>
        <v>-7.40914889825632</v>
      </c>
      <c r="I692" s="343">
        <v>42</v>
      </c>
      <c r="J692" s="307">
        <f t="shared" si="248"/>
        <v>-41.5436</v>
      </c>
      <c r="K692" s="306">
        <f t="shared" si="271"/>
        <v>-49.7268492140631</v>
      </c>
      <c r="M692" s="278">
        <f t="shared" si="257"/>
        <v>0</v>
      </c>
      <c r="N692" s="415"/>
      <c r="O692" s="415"/>
      <c r="Q692" s="278">
        <v>2</v>
      </c>
    </row>
    <row r="693" customFormat="1" ht="20" customHeight="1" spans="1:17">
      <c r="A693" s="416">
        <v>21016</v>
      </c>
      <c r="B693" s="427" t="s">
        <v>656</v>
      </c>
      <c r="C693" s="346">
        <v>0</v>
      </c>
      <c r="D693" s="346"/>
      <c r="E693" s="346">
        <v>0</v>
      </c>
      <c r="F693" s="414"/>
      <c r="G693" s="346">
        <f t="shared" si="246"/>
        <v>0</v>
      </c>
      <c r="H693" s="414"/>
      <c r="I693" s="346"/>
      <c r="J693" s="307">
        <f t="shared" si="248"/>
        <v>0</v>
      </c>
      <c r="K693" s="306"/>
      <c r="M693">
        <f t="shared" si="257"/>
        <v>0</v>
      </c>
      <c r="N693" s="415"/>
      <c r="O693" s="415"/>
    </row>
    <row r="694" customFormat="1" ht="20" customHeight="1" spans="1:17">
      <c r="A694" s="418">
        <v>2101601</v>
      </c>
      <c r="B694" s="239" t="s">
        <v>657</v>
      </c>
      <c r="C694" s="307">
        <v>0</v>
      </c>
      <c r="D694" s="343"/>
      <c r="E694" s="307">
        <v>0</v>
      </c>
      <c r="F694" s="414"/>
      <c r="G694" s="346">
        <f t="shared" si="246"/>
        <v>0</v>
      </c>
      <c r="H694" s="414"/>
      <c r="I694" s="343"/>
      <c r="J694" s="307">
        <f t="shared" si="248"/>
        <v>0</v>
      </c>
      <c r="K694" s="306"/>
      <c r="M694">
        <f t="shared" si="257"/>
        <v>0</v>
      </c>
      <c r="N694" s="415"/>
      <c r="O694" s="415"/>
    </row>
    <row r="695" customFormat="1" ht="20" customHeight="1" spans="1:17">
      <c r="A695" s="416">
        <v>21017</v>
      </c>
      <c r="B695" s="427" t="s">
        <v>658</v>
      </c>
      <c r="C695" s="346">
        <f>SUM(C696:C697)</f>
        <v>41.1369</v>
      </c>
      <c r="D695" s="346">
        <f t="shared" ref="D695:I695" si="272">SUM(D696:D697)</f>
        <v>192</v>
      </c>
      <c r="E695" s="346">
        <f t="shared" si="272"/>
        <v>52</v>
      </c>
      <c r="F695" s="414">
        <f t="shared" si="269"/>
        <v>27.0833333333333</v>
      </c>
      <c r="G695" s="346">
        <f t="shared" si="246"/>
        <v>10.8631</v>
      </c>
      <c r="H695" s="414">
        <f t="shared" si="270"/>
        <v>26.4071915968389</v>
      </c>
      <c r="I695" s="346">
        <f t="shared" si="272"/>
        <v>0</v>
      </c>
      <c r="J695" s="307">
        <f t="shared" si="248"/>
        <v>-192</v>
      </c>
      <c r="K695" s="306">
        <f t="shared" si="271"/>
        <v>-100</v>
      </c>
      <c r="M695">
        <f t="shared" si="257"/>
        <v>0</v>
      </c>
      <c r="N695" s="415"/>
      <c r="O695" s="415"/>
    </row>
    <row r="696" customFormat="1" ht="20" customHeight="1" spans="1:17">
      <c r="A696" s="418">
        <v>2101704</v>
      </c>
      <c r="B696" s="239" t="s">
        <v>659</v>
      </c>
      <c r="C696" s="343">
        <v>41.1369</v>
      </c>
      <c r="D696" s="343"/>
      <c r="E696" s="343">
        <v>7</v>
      </c>
      <c r="F696" s="414"/>
      <c r="G696" s="346">
        <f t="shared" si="246"/>
        <v>-34.1369</v>
      </c>
      <c r="H696" s="414">
        <f t="shared" si="270"/>
        <v>-82.9836472850409</v>
      </c>
      <c r="I696" s="343"/>
      <c r="J696" s="307">
        <f t="shared" si="248"/>
        <v>0</v>
      </c>
      <c r="K696" s="306"/>
      <c r="M696">
        <f t="shared" si="257"/>
        <v>0</v>
      </c>
      <c r="N696" s="415"/>
      <c r="O696" s="415"/>
      <c r="P696">
        <v>157</v>
      </c>
      <c r="Q696">
        <v>90</v>
      </c>
    </row>
    <row r="697" customFormat="1" ht="20" customHeight="1" spans="1:17">
      <c r="A697" s="418">
        <v>2101799</v>
      </c>
      <c r="B697" s="239" t="s">
        <v>660</v>
      </c>
      <c r="C697" s="343">
        <v>0</v>
      </c>
      <c r="D697" s="343">
        <f>157+35</f>
        <v>192</v>
      </c>
      <c r="E697" s="343">
        <v>45</v>
      </c>
      <c r="F697" s="414">
        <f t="shared" ref="F697:F699" si="273">E697/D697*100</f>
        <v>23.4375</v>
      </c>
      <c r="G697" s="346">
        <f t="shared" si="246"/>
        <v>45</v>
      </c>
      <c r="H697" s="414"/>
      <c r="I697" s="343"/>
      <c r="J697" s="307">
        <f t="shared" si="248"/>
        <v>-192</v>
      </c>
      <c r="K697" s="306">
        <f t="shared" ref="K697:K699" si="274">J697/D697*100</f>
        <v>-100</v>
      </c>
      <c r="M697">
        <f t="shared" si="257"/>
        <v>0</v>
      </c>
      <c r="N697" s="415"/>
      <c r="O697" s="415"/>
    </row>
    <row r="698" s="278" customFormat="1" ht="20" customHeight="1" spans="1:17">
      <c r="A698" s="435" t="s">
        <v>661</v>
      </c>
      <c r="B698" s="436" t="s">
        <v>662</v>
      </c>
      <c r="C698" s="307">
        <f>C699</f>
        <v>9.6</v>
      </c>
      <c r="D698" s="307">
        <f t="shared" ref="D698:I698" si="275">D699</f>
        <v>6</v>
      </c>
      <c r="E698" s="307">
        <f t="shared" si="275"/>
        <v>6</v>
      </c>
      <c r="F698" s="414">
        <f t="shared" si="273"/>
        <v>100</v>
      </c>
      <c r="G698" s="346">
        <f t="shared" si="246"/>
        <v>-3.6</v>
      </c>
      <c r="H698" s="414">
        <f t="shared" ref="H698:H706" si="276">G698/C698*100</f>
        <v>-37.5</v>
      </c>
      <c r="I698" s="307">
        <f t="shared" si="275"/>
        <v>87.84</v>
      </c>
      <c r="J698" s="307">
        <f t="shared" si="248"/>
        <v>81.84</v>
      </c>
      <c r="K698" s="306">
        <f t="shared" si="274"/>
        <v>1364</v>
      </c>
    </row>
    <row r="699" s="278" customFormat="1" ht="20" customHeight="1" spans="1:17">
      <c r="A699" s="418" t="s">
        <v>663</v>
      </c>
      <c r="B699" s="234" t="s">
        <v>664</v>
      </c>
      <c r="C699" s="343">
        <v>9.6</v>
      </c>
      <c r="D699" s="343">
        <v>6</v>
      </c>
      <c r="E699" s="343">
        <v>6</v>
      </c>
      <c r="F699" s="414">
        <f t="shared" si="273"/>
        <v>100</v>
      </c>
      <c r="G699" s="346">
        <f t="shared" si="246"/>
        <v>-3.6</v>
      </c>
      <c r="H699" s="414">
        <f t="shared" si="276"/>
        <v>-37.5</v>
      </c>
      <c r="I699" s="420">
        <v>87.84</v>
      </c>
      <c r="J699" s="307">
        <f t="shared" si="248"/>
        <v>81.84</v>
      </c>
      <c r="K699" s="306">
        <f t="shared" si="274"/>
        <v>1364</v>
      </c>
    </row>
    <row r="700" s="278" customFormat="1" ht="20" customHeight="1" spans="1:17">
      <c r="A700" s="418" t="s">
        <v>665</v>
      </c>
      <c r="B700" s="436" t="s">
        <v>666</v>
      </c>
      <c r="C700" s="343"/>
      <c r="D700" s="343"/>
      <c r="E700" s="343">
        <f>E702</f>
        <v>2562</v>
      </c>
      <c r="F700" s="414"/>
      <c r="G700" s="346">
        <f t="shared" si="246"/>
        <v>2562</v>
      </c>
      <c r="H700" s="414"/>
      <c r="I700" s="343">
        <f>I702+I701</f>
        <v>2343.51</v>
      </c>
      <c r="J700" s="307">
        <f t="shared" si="248"/>
        <v>2343.51</v>
      </c>
      <c r="K700" s="306"/>
    </row>
    <row r="701" s="278" customFormat="1" ht="20" customHeight="1" spans="1:17">
      <c r="A701" s="418" t="s">
        <v>667</v>
      </c>
      <c r="B701" s="436" t="s">
        <v>668</v>
      </c>
      <c r="C701" s="343"/>
      <c r="D701" s="343"/>
      <c r="E701" s="343"/>
      <c r="F701" s="414"/>
      <c r="G701" s="346"/>
      <c r="H701" s="414"/>
      <c r="I701" s="343">
        <f>2067.39+108.81</f>
        <v>2176.2</v>
      </c>
      <c r="J701" s="307">
        <f t="shared" si="248"/>
        <v>2176.2</v>
      </c>
      <c r="K701" s="306"/>
    </row>
    <row r="702" s="278" customFormat="1" ht="20" customHeight="1" spans="1:17">
      <c r="A702" s="418" t="s">
        <v>669</v>
      </c>
      <c r="B702" s="234" t="s">
        <v>670</v>
      </c>
      <c r="C702" s="343"/>
      <c r="D702" s="343"/>
      <c r="E702" s="343">
        <v>2562</v>
      </c>
      <c r="F702" s="414"/>
      <c r="G702" s="346">
        <f t="shared" ref="G702:G765" si="277">E702-C702</f>
        <v>2562</v>
      </c>
      <c r="H702" s="414"/>
      <c r="I702" s="343">
        <v>167.31</v>
      </c>
      <c r="J702" s="307">
        <f t="shared" si="248"/>
        <v>167.31</v>
      </c>
      <c r="K702" s="306"/>
    </row>
    <row r="703" customFormat="1" ht="20" customHeight="1" spans="1:17">
      <c r="A703" s="416">
        <v>21099</v>
      </c>
      <c r="B703" s="427" t="s">
        <v>671</v>
      </c>
      <c r="C703" s="371">
        <f>C704</f>
        <v>129.319324</v>
      </c>
      <c r="D703" s="371">
        <f t="shared" ref="D703:I703" si="278">D704</f>
        <v>1898.05</v>
      </c>
      <c r="E703" s="371">
        <f t="shared" si="278"/>
        <v>144</v>
      </c>
      <c r="F703" s="414">
        <f t="shared" ref="F703:F706" si="279">E703/D703*100</f>
        <v>7.58673375306235</v>
      </c>
      <c r="G703" s="346">
        <f t="shared" si="277"/>
        <v>14.680676</v>
      </c>
      <c r="H703" s="414">
        <f t="shared" si="276"/>
        <v>11.3522678172985</v>
      </c>
      <c r="I703" s="371">
        <f t="shared" si="278"/>
        <v>2848.47</v>
      </c>
      <c r="J703" s="307">
        <f t="shared" si="248"/>
        <v>950.42</v>
      </c>
      <c r="K703" s="306">
        <f t="shared" ref="K703:K706" si="280">J703/D703*100</f>
        <v>50.0734964832328</v>
      </c>
      <c r="M703">
        <f t="shared" ref="M703:M731" si="281">N703+O703</f>
        <v>0</v>
      </c>
      <c r="N703" s="415"/>
      <c r="O703" s="415"/>
    </row>
    <row r="704" customFormat="1" ht="20" customHeight="1" spans="1:17">
      <c r="A704" s="418">
        <v>2109999</v>
      </c>
      <c r="B704" s="239" t="s">
        <v>672</v>
      </c>
      <c r="C704" s="307">
        <v>129.319324</v>
      </c>
      <c r="D704" s="425">
        <f>5+1677.87+215.18</f>
        <v>1898.05</v>
      </c>
      <c r="E704" s="307">
        <v>144</v>
      </c>
      <c r="F704" s="414">
        <f t="shared" si="279"/>
        <v>7.58673375306235</v>
      </c>
      <c r="G704" s="346">
        <f t="shared" si="277"/>
        <v>14.680676</v>
      </c>
      <c r="H704" s="414">
        <f t="shared" si="276"/>
        <v>11.3522678172985</v>
      </c>
      <c r="I704" s="425">
        <f>160.8+187.2+175.47+2205+120</f>
        <v>2848.47</v>
      </c>
      <c r="J704" s="307">
        <f t="shared" si="248"/>
        <v>950.42</v>
      </c>
      <c r="K704" s="306">
        <f t="shared" si="280"/>
        <v>50.0734964832328</v>
      </c>
      <c r="M704">
        <f t="shared" si="281"/>
        <v>6</v>
      </c>
      <c r="N704" s="415">
        <v>6</v>
      </c>
      <c r="O704" s="415"/>
      <c r="Q704">
        <v>180</v>
      </c>
    </row>
    <row r="705" s="278" customFormat="1" ht="20" customHeight="1" spans="1:17">
      <c r="A705" s="412">
        <v>211</v>
      </c>
      <c r="B705" s="413" t="s">
        <v>673</v>
      </c>
      <c r="C705" s="346">
        <f>SUM(C706:C746)/2+C748</f>
        <v>424.587869</v>
      </c>
      <c r="D705" s="346">
        <f>SUM(D706:D768)/2</f>
        <v>1279.66</v>
      </c>
      <c r="E705" s="346">
        <f>SUM(E706:E746)/2+E748</f>
        <v>965</v>
      </c>
      <c r="F705" s="414">
        <f t="shared" si="279"/>
        <v>75.4106559554882</v>
      </c>
      <c r="G705" s="346">
        <f t="shared" si="277"/>
        <v>540.412131</v>
      </c>
      <c r="H705" s="414">
        <f t="shared" si="276"/>
        <v>127.279220735343</v>
      </c>
      <c r="I705" s="346">
        <f>SUM(I706:I768)/2</f>
        <v>2210.196114</v>
      </c>
      <c r="J705" s="307">
        <f t="shared" si="248"/>
        <v>930.536114</v>
      </c>
      <c r="K705" s="306">
        <f t="shared" si="280"/>
        <v>72.7174494787677</v>
      </c>
      <c r="M705" s="278">
        <f t="shared" si="281"/>
        <v>0</v>
      </c>
      <c r="N705" s="415"/>
      <c r="O705" s="415"/>
    </row>
    <row r="706" customFormat="1" ht="20" customHeight="1" spans="1:17">
      <c r="A706" s="416">
        <v>21101</v>
      </c>
      <c r="B706" s="427" t="s">
        <v>674</v>
      </c>
      <c r="C706" s="343">
        <f>SUM(C707:C714)</f>
        <v>29.218612</v>
      </c>
      <c r="D706" s="343">
        <f t="shared" ref="D706:I706" si="282">SUM(D707:D714)</f>
        <v>7</v>
      </c>
      <c r="E706" s="343">
        <f t="shared" si="282"/>
        <v>69</v>
      </c>
      <c r="F706" s="414">
        <f t="shared" si="279"/>
        <v>985.714285714286</v>
      </c>
      <c r="G706" s="346">
        <f t="shared" si="277"/>
        <v>39.781388</v>
      </c>
      <c r="H706" s="414">
        <f t="shared" si="276"/>
        <v>136.150847959513</v>
      </c>
      <c r="I706" s="343">
        <f t="shared" si="282"/>
        <v>92.476114</v>
      </c>
      <c r="J706" s="307">
        <f t="shared" si="248"/>
        <v>85.476114</v>
      </c>
      <c r="K706" s="306">
        <f t="shared" si="280"/>
        <v>1221.08734285714</v>
      </c>
      <c r="M706">
        <f t="shared" si="281"/>
        <v>0</v>
      </c>
      <c r="N706" s="415"/>
      <c r="O706" s="415"/>
    </row>
    <row r="707" s="278" customFormat="1" ht="20" customHeight="1" spans="1:17">
      <c r="A707" s="418">
        <v>2110101</v>
      </c>
      <c r="B707" s="422" t="s">
        <v>165</v>
      </c>
      <c r="C707" s="331">
        <v>0</v>
      </c>
      <c r="D707" s="343"/>
      <c r="E707" s="331">
        <v>0</v>
      </c>
      <c r="F707" s="414"/>
      <c r="G707" s="346">
        <f t="shared" si="277"/>
        <v>0</v>
      </c>
      <c r="H707" s="414"/>
      <c r="I707" s="343"/>
      <c r="J707" s="307">
        <f t="shared" si="248"/>
        <v>0</v>
      </c>
      <c r="K707" s="306"/>
      <c r="M707" s="278">
        <f t="shared" si="281"/>
        <v>0</v>
      </c>
      <c r="N707" s="415"/>
      <c r="O707" s="415"/>
    </row>
    <row r="708" s="278" customFormat="1" ht="20" customHeight="1" spans="1:17">
      <c r="A708" s="418">
        <v>2110102</v>
      </c>
      <c r="B708" s="422" t="s">
        <v>166</v>
      </c>
      <c r="C708" s="331">
        <v>12.40419</v>
      </c>
      <c r="D708" s="343"/>
      <c r="E708" s="331">
        <v>3</v>
      </c>
      <c r="F708" s="414"/>
      <c r="G708" s="346">
        <f t="shared" si="277"/>
        <v>-9.40419</v>
      </c>
      <c r="H708" s="414">
        <f>G708/C708*100</f>
        <v>-75.8146239294948</v>
      </c>
      <c r="I708" s="343"/>
      <c r="J708" s="307">
        <f t="shared" si="248"/>
        <v>0</v>
      </c>
      <c r="K708" s="306"/>
      <c r="M708" s="278">
        <f t="shared" si="281"/>
        <v>12</v>
      </c>
      <c r="N708" s="415">
        <v>12</v>
      </c>
      <c r="O708" s="415"/>
    </row>
    <row r="709" s="278" customFormat="1" ht="20" customHeight="1" spans="1:17">
      <c r="A709" s="418">
        <v>2110103</v>
      </c>
      <c r="B709" s="422" t="s">
        <v>167</v>
      </c>
      <c r="C709" s="331">
        <v>0</v>
      </c>
      <c r="D709" s="343"/>
      <c r="E709" s="331">
        <v>0</v>
      </c>
      <c r="F709" s="414"/>
      <c r="G709" s="346">
        <f t="shared" si="277"/>
        <v>0</v>
      </c>
      <c r="H709" s="414"/>
      <c r="I709" s="343"/>
      <c r="J709" s="307">
        <f t="shared" si="248"/>
        <v>0</v>
      </c>
      <c r="K709" s="306"/>
      <c r="M709" s="278">
        <f t="shared" si="281"/>
        <v>0</v>
      </c>
      <c r="N709" s="415"/>
      <c r="O709" s="415"/>
    </row>
    <row r="710" s="278" customFormat="1" ht="20" customHeight="1" spans="1:17">
      <c r="A710" s="418">
        <v>2110104</v>
      </c>
      <c r="B710" s="422" t="s">
        <v>675</v>
      </c>
      <c r="C710" s="307">
        <v>0</v>
      </c>
      <c r="D710" s="343"/>
      <c r="E710" s="307">
        <v>0</v>
      </c>
      <c r="F710" s="414"/>
      <c r="G710" s="346">
        <f t="shared" si="277"/>
        <v>0</v>
      </c>
      <c r="H710" s="414"/>
      <c r="I710" s="343"/>
      <c r="J710" s="307">
        <f t="shared" ref="J710:J773" si="283">I710-D710</f>
        <v>0</v>
      </c>
      <c r="K710" s="306"/>
      <c r="M710" s="278">
        <f t="shared" si="281"/>
        <v>0</v>
      </c>
      <c r="N710" s="415"/>
      <c r="O710" s="415"/>
    </row>
    <row r="711" s="278" customFormat="1" ht="20" customHeight="1" spans="1:17">
      <c r="A711" s="418">
        <v>2110105</v>
      </c>
      <c r="B711" s="422" t="s">
        <v>676</v>
      </c>
      <c r="C711" s="307">
        <v>0</v>
      </c>
      <c r="D711" s="343"/>
      <c r="E711" s="307">
        <v>0</v>
      </c>
      <c r="F711" s="414"/>
      <c r="G711" s="346">
        <f t="shared" si="277"/>
        <v>0</v>
      </c>
      <c r="H711" s="414"/>
      <c r="I711" s="343"/>
      <c r="J711" s="307">
        <f t="shared" si="283"/>
        <v>0</v>
      </c>
      <c r="K711" s="306"/>
      <c r="M711" s="278">
        <f t="shared" si="281"/>
        <v>0</v>
      </c>
      <c r="N711" s="415"/>
      <c r="O711" s="415"/>
    </row>
    <row r="712" customFormat="1" ht="20" customHeight="1" spans="1:17">
      <c r="A712" s="418">
        <v>2110106</v>
      </c>
      <c r="B712" s="239" t="s">
        <v>677</v>
      </c>
      <c r="C712" s="307">
        <v>0</v>
      </c>
      <c r="D712" s="343"/>
      <c r="E712" s="307">
        <v>0</v>
      </c>
      <c r="F712" s="414"/>
      <c r="G712" s="346">
        <f t="shared" si="277"/>
        <v>0</v>
      </c>
      <c r="H712" s="414"/>
      <c r="I712" s="343"/>
      <c r="J712" s="307">
        <f t="shared" si="283"/>
        <v>0</v>
      </c>
      <c r="K712" s="306"/>
      <c r="M712">
        <f t="shared" si="281"/>
        <v>0</v>
      </c>
      <c r="N712" s="415"/>
      <c r="O712" s="415"/>
    </row>
    <row r="713" customFormat="1" ht="20" customHeight="1" spans="1:17">
      <c r="A713" s="418">
        <v>2110107</v>
      </c>
      <c r="B713" s="239" t="s">
        <v>678</v>
      </c>
      <c r="C713" s="307">
        <v>0</v>
      </c>
      <c r="D713" s="343"/>
      <c r="E713" s="307">
        <v>0</v>
      </c>
      <c r="F713" s="414"/>
      <c r="G713" s="346">
        <f t="shared" si="277"/>
        <v>0</v>
      </c>
      <c r="H713" s="414"/>
      <c r="I713" s="343"/>
      <c r="J713" s="307">
        <f t="shared" si="283"/>
        <v>0</v>
      </c>
      <c r="K713" s="306"/>
      <c r="M713">
        <f t="shared" si="281"/>
        <v>0</v>
      </c>
      <c r="N713" s="415"/>
      <c r="O713" s="415"/>
    </row>
    <row r="714" customFormat="1" ht="20" customHeight="1" spans="1:17">
      <c r="A714" s="418">
        <v>2110199</v>
      </c>
      <c r="B714" s="239" t="s">
        <v>679</v>
      </c>
      <c r="C714" s="307">
        <v>16.814422</v>
      </c>
      <c r="D714" s="425">
        <v>7</v>
      </c>
      <c r="E714" s="307">
        <v>66</v>
      </c>
      <c r="F714" s="414">
        <f>E714/D714*100</f>
        <v>942.857142857143</v>
      </c>
      <c r="G714" s="346">
        <f t="shared" si="277"/>
        <v>49.185578</v>
      </c>
      <c r="H714" s="414">
        <f>G714/C714*100</f>
        <v>292.520182971499</v>
      </c>
      <c r="I714" s="420">
        <f>22.476114+53+17</f>
        <v>92.476114</v>
      </c>
      <c r="J714" s="307">
        <f t="shared" si="283"/>
        <v>85.476114</v>
      </c>
      <c r="K714" s="306">
        <f>J714/D714*100</f>
        <v>1221.08734285714</v>
      </c>
      <c r="M714">
        <f t="shared" si="281"/>
        <v>3</v>
      </c>
      <c r="N714" s="415">
        <v>3</v>
      </c>
      <c r="O714" s="415"/>
    </row>
    <row r="715" customFormat="1" ht="20" customHeight="1" spans="1:17">
      <c r="A715" s="416">
        <v>21102</v>
      </c>
      <c r="B715" s="427" t="s">
        <v>680</v>
      </c>
      <c r="C715" s="343">
        <v>0</v>
      </c>
      <c r="D715" s="343"/>
      <c r="E715" s="343">
        <v>0</v>
      </c>
      <c r="F715" s="414"/>
      <c r="G715" s="346">
        <f t="shared" si="277"/>
        <v>0</v>
      </c>
      <c r="H715" s="414"/>
      <c r="I715" s="343"/>
      <c r="J715" s="307">
        <f t="shared" si="283"/>
        <v>0</v>
      </c>
      <c r="K715" s="306"/>
      <c r="M715">
        <f t="shared" si="281"/>
        <v>0</v>
      </c>
      <c r="N715" s="415"/>
      <c r="O715" s="415"/>
    </row>
    <row r="716" customFormat="1" ht="20" customHeight="1" spans="1:17">
      <c r="A716" s="418">
        <v>2110203</v>
      </c>
      <c r="B716" s="239" t="s">
        <v>681</v>
      </c>
      <c r="C716" s="307">
        <v>0</v>
      </c>
      <c r="D716" s="343"/>
      <c r="E716" s="307">
        <v>0</v>
      </c>
      <c r="F716" s="414"/>
      <c r="G716" s="346">
        <f t="shared" si="277"/>
        <v>0</v>
      </c>
      <c r="H716" s="414"/>
      <c r="I716" s="343"/>
      <c r="J716" s="307">
        <f t="shared" si="283"/>
        <v>0</v>
      </c>
      <c r="K716" s="306"/>
      <c r="M716">
        <f t="shared" si="281"/>
        <v>0</v>
      </c>
      <c r="N716" s="415"/>
      <c r="O716" s="415"/>
    </row>
    <row r="717" customFormat="1" ht="20" customHeight="1" spans="1:17">
      <c r="A717" s="418">
        <v>2110204</v>
      </c>
      <c r="B717" s="239" t="s">
        <v>682</v>
      </c>
      <c r="C717" s="307">
        <v>0</v>
      </c>
      <c r="D717" s="343"/>
      <c r="E717" s="307">
        <v>0</v>
      </c>
      <c r="F717" s="414"/>
      <c r="G717" s="346">
        <f t="shared" si="277"/>
        <v>0</v>
      </c>
      <c r="H717" s="414"/>
      <c r="I717" s="343"/>
      <c r="J717" s="307">
        <f t="shared" si="283"/>
        <v>0</v>
      </c>
      <c r="K717" s="306"/>
      <c r="M717">
        <f t="shared" si="281"/>
        <v>0</v>
      </c>
      <c r="N717" s="415"/>
      <c r="O717" s="415"/>
    </row>
    <row r="718" customFormat="1" ht="20" customHeight="1" spans="1:17">
      <c r="A718" s="418">
        <v>2110299</v>
      </c>
      <c r="B718" s="239" t="s">
        <v>683</v>
      </c>
      <c r="C718" s="307">
        <v>0</v>
      </c>
      <c r="D718" s="343"/>
      <c r="E718" s="307">
        <v>0</v>
      </c>
      <c r="F718" s="414"/>
      <c r="G718" s="346">
        <f t="shared" si="277"/>
        <v>0</v>
      </c>
      <c r="H718" s="414"/>
      <c r="I718" s="343"/>
      <c r="J718" s="307">
        <f t="shared" si="283"/>
        <v>0</v>
      </c>
      <c r="K718" s="306"/>
      <c r="M718">
        <f t="shared" si="281"/>
        <v>0</v>
      </c>
      <c r="N718" s="415"/>
      <c r="O718" s="415"/>
    </row>
    <row r="719" customFormat="1" ht="20" customHeight="1" spans="1:17">
      <c r="A719" s="416">
        <v>21103</v>
      </c>
      <c r="B719" s="427" t="s">
        <v>684</v>
      </c>
      <c r="C719" s="343">
        <f>SUM(C720:C727)</f>
        <v>175.3968</v>
      </c>
      <c r="D719" s="343">
        <f t="shared" ref="D719:I719" si="284">SUM(D720:D727)</f>
        <v>1063</v>
      </c>
      <c r="E719" s="343">
        <f t="shared" si="284"/>
        <v>25</v>
      </c>
      <c r="F719" s="414">
        <f>E719/D719*100</f>
        <v>2.35183443085607</v>
      </c>
      <c r="G719" s="346">
        <f t="shared" si="277"/>
        <v>-150.3968</v>
      </c>
      <c r="H719" s="414">
        <f t="shared" ref="H719:H721" si="285">G719/C719*100</f>
        <v>-85.7466042710015</v>
      </c>
      <c r="I719" s="343">
        <f t="shared" si="284"/>
        <v>1063</v>
      </c>
      <c r="J719" s="307">
        <f t="shared" si="283"/>
        <v>0</v>
      </c>
      <c r="K719" s="306">
        <f>J719/D719*100</f>
        <v>0</v>
      </c>
      <c r="M719">
        <f t="shared" si="281"/>
        <v>0</v>
      </c>
      <c r="N719" s="415"/>
      <c r="O719" s="415"/>
    </row>
    <row r="720" customFormat="1" ht="20" customHeight="1" spans="1:17">
      <c r="A720" s="418">
        <v>2110301</v>
      </c>
      <c r="B720" s="239" t="s">
        <v>685</v>
      </c>
      <c r="C720" s="307">
        <v>17.3968</v>
      </c>
      <c r="D720" s="343"/>
      <c r="E720" s="307">
        <v>25</v>
      </c>
      <c r="F720" s="414"/>
      <c r="G720" s="346">
        <f t="shared" si="277"/>
        <v>7.6032</v>
      </c>
      <c r="H720" s="414">
        <f t="shared" si="285"/>
        <v>43.7045893497655</v>
      </c>
      <c r="I720" s="343"/>
      <c r="J720" s="307">
        <f t="shared" si="283"/>
        <v>0</v>
      </c>
      <c r="K720" s="306"/>
      <c r="M720">
        <f t="shared" si="281"/>
        <v>0</v>
      </c>
      <c r="N720" s="415"/>
      <c r="O720" s="415"/>
      <c r="Q720">
        <v>17</v>
      </c>
    </row>
    <row r="721" customFormat="1" ht="20" customHeight="1" spans="1:17">
      <c r="A721" s="418">
        <v>2110302</v>
      </c>
      <c r="B721" s="239" t="s">
        <v>686</v>
      </c>
      <c r="C721" s="307">
        <v>158</v>
      </c>
      <c r="D721" s="343">
        <v>1063</v>
      </c>
      <c r="E721" s="307"/>
      <c r="F721" s="414">
        <f>E721/D721*100</f>
        <v>0</v>
      </c>
      <c r="G721" s="346">
        <f t="shared" si="277"/>
        <v>-158</v>
      </c>
      <c r="H721" s="414">
        <f t="shared" si="285"/>
        <v>-100</v>
      </c>
      <c r="I721" s="343">
        <v>1063</v>
      </c>
      <c r="J721" s="307">
        <f t="shared" si="283"/>
        <v>0</v>
      </c>
      <c r="K721" s="306">
        <f>J721/D721*100</f>
        <v>0</v>
      </c>
      <c r="M721">
        <f t="shared" si="281"/>
        <v>0</v>
      </c>
      <c r="N721" s="415"/>
      <c r="O721" s="415"/>
      <c r="P721">
        <v>20</v>
      </c>
      <c r="Q721">
        <v>60</v>
      </c>
    </row>
    <row r="722" customFormat="1" ht="20" customHeight="1" spans="1:17">
      <c r="A722" s="418">
        <v>2110303</v>
      </c>
      <c r="B722" s="239" t="s">
        <v>687</v>
      </c>
      <c r="C722" s="307">
        <v>0</v>
      </c>
      <c r="D722" s="343"/>
      <c r="E722" s="307">
        <v>0</v>
      </c>
      <c r="F722" s="414"/>
      <c r="G722" s="346">
        <f t="shared" si="277"/>
        <v>0</v>
      </c>
      <c r="H722" s="414"/>
      <c r="I722" s="343"/>
      <c r="J722" s="307">
        <f t="shared" si="283"/>
        <v>0</v>
      </c>
      <c r="K722" s="306"/>
      <c r="M722">
        <f t="shared" si="281"/>
        <v>0</v>
      </c>
      <c r="N722" s="415"/>
      <c r="O722" s="415"/>
    </row>
    <row r="723" customFormat="1" ht="20" customHeight="1" spans="1:17">
      <c r="A723" s="418">
        <v>2110304</v>
      </c>
      <c r="B723" s="239" t="s">
        <v>688</v>
      </c>
      <c r="C723" s="307">
        <v>0</v>
      </c>
      <c r="D723" s="343"/>
      <c r="E723" s="307">
        <v>0</v>
      </c>
      <c r="F723" s="414"/>
      <c r="G723" s="346">
        <f t="shared" si="277"/>
        <v>0</v>
      </c>
      <c r="H723" s="414"/>
      <c r="I723" s="343"/>
      <c r="J723" s="307">
        <f t="shared" si="283"/>
        <v>0</v>
      </c>
      <c r="K723" s="306"/>
      <c r="M723">
        <f t="shared" si="281"/>
        <v>0</v>
      </c>
      <c r="N723" s="415"/>
      <c r="O723" s="415"/>
    </row>
    <row r="724" customFormat="1" ht="20" customHeight="1" spans="1:17">
      <c r="A724" s="418">
        <v>2110305</v>
      </c>
      <c r="B724" s="239" t="s">
        <v>689</v>
      </c>
      <c r="C724" s="307">
        <v>0</v>
      </c>
      <c r="D724" s="343"/>
      <c r="E724" s="307">
        <v>0</v>
      </c>
      <c r="F724" s="414"/>
      <c r="G724" s="346">
        <f t="shared" si="277"/>
        <v>0</v>
      </c>
      <c r="H724" s="414"/>
      <c r="I724" s="343"/>
      <c r="J724" s="307">
        <f t="shared" si="283"/>
        <v>0</v>
      </c>
      <c r="K724" s="306"/>
      <c r="M724">
        <f t="shared" si="281"/>
        <v>0</v>
      </c>
      <c r="N724" s="415"/>
      <c r="O724" s="415"/>
    </row>
    <row r="725" customFormat="1" ht="20" customHeight="1" spans="1:17">
      <c r="A725" s="418">
        <v>2110306</v>
      </c>
      <c r="B725" s="239" t="s">
        <v>690</v>
      </c>
      <c r="C725" s="307">
        <v>0</v>
      </c>
      <c r="D725" s="343"/>
      <c r="E725" s="307">
        <v>0</v>
      </c>
      <c r="F725" s="414"/>
      <c r="G725" s="346">
        <f t="shared" si="277"/>
        <v>0</v>
      </c>
      <c r="H725" s="414"/>
      <c r="I725" s="343"/>
      <c r="J725" s="307">
        <f t="shared" si="283"/>
        <v>0</v>
      </c>
      <c r="K725" s="306"/>
      <c r="M725">
        <f t="shared" si="281"/>
        <v>0</v>
      </c>
      <c r="N725" s="415"/>
      <c r="O725" s="415"/>
    </row>
    <row r="726" customFormat="1" ht="20" customHeight="1" spans="1:17">
      <c r="A726" s="418">
        <v>2110307</v>
      </c>
      <c r="B726" s="239" t="s">
        <v>691</v>
      </c>
      <c r="C726" s="307">
        <v>0</v>
      </c>
      <c r="D726" s="343"/>
      <c r="E726" s="307">
        <v>0</v>
      </c>
      <c r="F726" s="414"/>
      <c r="G726" s="346">
        <f t="shared" si="277"/>
        <v>0</v>
      </c>
      <c r="H726" s="414"/>
      <c r="I726" s="343"/>
      <c r="J726" s="307">
        <f t="shared" si="283"/>
        <v>0</v>
      </c>
      <c r="K726" s="306"/>
      <c r="M726">
        <f t="shared" si="281"/>
        <v>0</v>
      </c>
      <c r="N726" s="415"/>
      <c r="O726" s="415"/>
    </row>
    <row r="727" customFormat="1" ht="20" customHeight="1" spans="1:17">
      <c r="A727" s="418">
        <v>2110399</v>
      </c>
      <c r="B727" s="239" t="s">
        <v>692</v>
      </c>
      <c r="C727" s="307">
        <v>0</v>
      </c>
      <c r="D727" s="343"/>
      <c r="E727" s="307">
        <v>0</v>
      </c>
      <c r="F727" s="414"/>
      <c r="G727" s="346">
        <f t="shared" si="277"/>
        <v>0</v>
      </c>
      <c r="H727" s="414"/>
      <c r="I727" s="343"/>
      <c r="J727" s="307">
        <f t="shared" si="283"/>
        <v>0</v>
      </c>
      <c r="K727" s="306"/>
      <c r="M727">
        <f t="shared" si="281"/>
        <v>0</v>
      </c>
      <c r="N727" s="415"/>
      <c r="O727" s="415"/>
    </row>
    <row r="728" customFormat="1" ht="20" customHeight="1" spans="1:17">
      <c r="A728" s="416">
        <v>21104</v>
      </c>
      <c r="B728" s="427" t="s">
        <v>693</v>
      </c>
      <c r="C728" s="343">
        <f>SUM(C729:C733)</f>
        <v>192.64255</v>
      </c>
      <c r="D728" s="343">
        <f t="shared" ref="D728:I728" si="286">SUM(D729:D733)</f>
        <v>103.8</v>
      </c>
      <c r="E728" s="343">
        <f t="shared" si="286"/>
        <v>156</v>
      </c>
      <c r="F728" s="414">
        <f t="shared" ref="F728:F732" si="287">E728/D728*100</f>
        <v>150.28901734104</v>
      </c>
      <c r="G728" s="346">
        <f t="shared" si="277"/>
        <v>-36.64255</v>
      </c>
      <c r="H728" s="414">
        <f>G728/C728*100</f>
        <v>-19.0210054839909</v>
      </c>
      <c r="I728" s="343">
        <f t="shared" si="286"/>
        <v>2.27</v>
      </c>
      <c r="J728" s="307">
        <f t="shared" si="283"/>
        <v>-101.53</v>
      </c>
      <c r="K728" s="306">
        <f t="shared" ref="K728:K732" si="288">J728/D728*100</f>
        <v>-97.8131021194605</v>
      </c>
      <c r="M728">
        <f t="shared" si="281"/>
        <v>0</v>
      </c>
      <c r="N728" s="415"/>
      <c r="O728" s="415"/>
    </row>
    <row r="729" customFormat="1" ht="20" customHeight="1" spans="1:17">
      <c r="A729" s="418">
        <v>2110401</v>
      </c>
      <c r="B729" s="239" t="s">
        <v>694</v>
      </c>
      <c r="C729" s="343">
        <v>192.64255</v>
      </c>
      <c r="D729" s="343">
        <v>88</v>
      </c>
      <c r="E729" s="343">
        <v>155</v>
      </c>
      <c r="F729" s="414">
        <f t="shared" si="287"/>
        <v>176.136363636364</v>
      </c>
      <c r="G729" s="346">
        <f t="shared" si="277"/>
        <v>-37.64255</v>
      </c>
      <c r="H729" s="414">
        <f>G729/C729*100</f>
        <v>-19.5401016026833</v>
      </c>
      <c r="I729" s="343">
        <v>2.27</v>
      </c>
      <c r="J729" s="307">
        <f t="shared" si="283"/>
        <v>-85.73</v>
      </c>
      <c r="K729" s="306">
        <f t="shared" si="288"/>
        <v>-97.4204545454545</v>
      </c>
      <c r="M729">
        <f t="shared" si="281"/>
        <v>0</v>
      </c>
      <c r="N729" s="415"/>
      <c r="O729" s="415"/>
      <c r="P729">
        <v>88</v>
      </c>
      <c r="Q729">
        <v>100</v>
      </c>
    </row>
    <row r="730" customFormat="1" ht="20" customHeight="1" spans="1:17">
      <c r="A730" s="418">
        <v>2110402</v>
      </c>
      <c r="B730" s="239" t="s">
        <v>695</v>
      </c>
      <c r="C730" s="343"/>
      <c r="D730" s="343"/>
      <c r="E730" s="343"/>
      <c r="F730" s="414"/>
      <c r="G730" s="346">
        <f t="shared" si="277"/>
        <v>0</v>
      </c>
      <c r="H730" s="414"/>
      <c r="I730" s="343"/>
      <c r="J730" s="307">
        <f t="shared" si="283"/>
        <v>0</v>
      </c>
      <c r="K730" s="306"/>
      <c r="M730">
        <f t="shared" si="281"/>
        <v>0</v>
      </c>
      <c r="N730" s="415"/>
      <c r="O730" s="415"/>
    </row>
    <row r="731" customFormat="1" ht="20" customHeight="1" spans="1:17">
      <c r="A731" s="418">
        <v>2110404</v>
      </c>
      <c r="B731" s="239" t="s">
        <v>696</v>
      </c>
      <c r="C731" s="343">
        <v>0</v>
      </c>
      <c r="D731" s="343"/>
      <c r="E731" s="343">
        <v>0</v>
      </c>
      <c r="F731" s="414"/>
      <c r="G731" s="346">
        <f t="shared" si="277"/>
        <v>0</v>
      </c>
      <c r="H731" s="414"/>
      <c r="I731" s="343"/>
      <c r="J731" s="307">
        <f t="shared" si="283"/>
        <v>0</v>
      </c>
      <c r="K731" s="306"/>
      <c r="M731">
        <f t="shared" si="281"/>
        <v>0</v>
      </c>
      <c r="N731" s="415"/>
      <c r="O731" s="415"/>
    </row>
    <row r="732" customFormat="1" ht="20" customHeight="1" spans="1:17">
      <c r="A732" s="418">
        <v>2110406</v>
      </c>
      <c r="B732" s="239" t="s">
        <v>697</v>
      </c>
      <c r="C732" s="343">
        <v>0</v>
      </c>
      <c r="D732" s="343">
        <f>7.9+7.9</f>
        <v>15.8</v>
      </c>
      <c r="E732" s="343">
        <v>1</v>
      </c>
      <c r="F732" s="414">
        <f t="shared" si="287"/>
        <v>6.32911392405063</v>
      </c>
      <c r="G732" s="346">
        <f t="shared" si="277"/>
        <v>1</v>
      </c>
      <c r="H732" s="414"/>
      <c r="I732" s="343"/>
      <c r="J732" s="307">
        <f t="shared" si="283"/>
        <v>-15.8</v>
      </c>
      <c r="K732" s="306">
        <f t="shared" si="288"/>
        <v>-100</v>
      </c>
      <c r="N732" s="415"/>
      <c r="O732" s="415"/>
      <c r="P732">
        <v>8</v>
      </c>
    </row>
    <row r="733" customFormat="1" ht="20" customHeight="1" spans="1:17">
      <c r="A733" s="418">
        <v>2110499</v>
      </c>
      <c r="B733" s="239" t="s">
        <v>698</v>
      </c>
      <c r="C733" s="343">
        <v>0</v>
      </c>
      <c r="D733" s="343"/>
      <c r="E733" s="343">
        <v>0</v>
      </c>
      <c r="F733" s="414"/>
      <c r="G733" s="346">
        <f t="shared" si="277"/>
        <v>0</v>
      </c>
      <c r="H733" s="414"/>
      <c r="I733" s="343"/>
      <c r="J733" s="307">
        <f t="shared" si="283"/>
        <v>0</v>
      </c>
      <c r="K733" s="306"/>
      <c r="M733">
        <f t="shared" ref="M733:M796" si="289">N733+O733</f>
        <v>0</v>
      </c>
      <c r="N733" s="415"/>
      <c r="O733" s="415"/>
    </row>
    <row r="734" customFormat="1" ht="20" customHeight="1" spans="1:17">
      <c r="A734" s="416">
        <v>21105</v>
      </c>
      <c r="B734" s="427" t="s">
        <v>699</v>
      </c>
      <c r="C734" s="343">
        <f>SUM(C735:C740)</f>
        <v>26.45</v>
      </c>
      <c r="D734" s="343">
        <f t="shared" ref="D734:I734" si="290">SUM(D735:D740)</f>
        <v>105.86</v>
      </c>
      <c r="E734" s="343">
        <f t="shared" si="290"/>
        <v>715</v>
      </c>
      <c r="F734" s="414">
        <f>E734/D734*100</f>
        <v>675.420366521821</v>
      </c>
      <c r="G734" s="346">
        <f t="shared" si="277"/>
        <v>688.55</v>
      </c>
      <c r="H734" s="414">
        <f>G734/C734*100</f>
        <v>2603.21361058601</v>
      </c>
      <c r="I734" s="343">
        <f t="shared" si="290"/>
        <v>1052.45</v>
      </c>
      <c r="J734" s="307">
        <f t="shared" si="283"/>
        <v>946.59</v>
      </c>
      <c r="K734" s="306">
        <f>J734/D734*100</f>
        <v>894.190440204043</v>
      </c>
      <c r="M734">
        <f t="shared" si="289"/>
        <v>0</v>
      </c>
      <c r="N734" s="415"/>
      <c r="O734" s="415"/>
    </row>
    <row r="735" customFormat="1" ht="20" customHeight="1" spans="1:17">
      <c r="A735" s="418">
        <v>2110501</v>
      </c>
      <c r="B735" s="239" t="s">
        <v>700</v>
      </c>
      <c r="C735" s="343">
        <v>26.45</v>
      </c>
      <c r="D735" s="343">
        <f>52.93+52.93</f>
        <v>105.86</v>
      </c>
      <c r="E735" s="343">
        <v>715</v>
      </c>
      <c r="F735" s="414">
        <f>E735/D735*100</f>
        <v>675.420366521821</v>
      </c>
      <c r="G735" s="346">
        <f t="shared" si="277"/>
        <v>688.55</v>
      </c>
      <c r="H735" s="414">
        <f>G735/C735*100</f>
        <v>2603.21361058601</v>
      </c>
      <c r="I735" s="343">
        <f>101.28+951.17</f>
        <v>1052.45</v>
      </c>
      <c r="J735" s="307">
        <f t="shared" si="283"/>
        <v>946.59</v>
      </c>
      <c r="K735" s="306">
        <f>J735/D735*100</f>
        <v>894.190440204043</v>
      </c>
      <c r="M735">
        <f t="shared" si="289"/>
        <v>0</v>
      </c>
      <c r="N735" s="415"/>
      <c r="O735" s="415"/>
      <c r="P735">
        <v>53</v>
      </c>
      <c r="Q735">
        <v>45</v>
      </c>
    </row>
    <row r="736" customFormat="1" ht="20" customHeight="1" spans="1:17">
      <c r="A736" s="418">
        <v>2110502</v>
      </c>
      <c r="B736" s="239" t="s">
        <v>701</v>
      </c>
      <c r="C736" s="343">
        <v>0</v>
      </c>
      <c r="D736" s="343"/>
      <c r="E736" s="343">
        <v>0</v>
      </c>
      <c r="F736" s="414"/>
      <c r="G736" s="346">
        <f t="shared" si="277"/>
        <v>0</v>
      </c>
      <c r="H736" s="414"/>
      <c r="I736" s="343"/>
      <c r="J736" s="307">
        <f t="shared" si="283"/>
        <v>0</v>
      </c>
      <c r="K736" s="306"/>
      <c r="M736">
        <f t="shared" si="289"/>
        <v>0</v>
      </c>
      <c r="N736" s="415"/>
      <c r="O736" s="415"/>
    </row>
    <row r="737" customFormat="1" ht="20" customHeight="1" spans="1:15">
      <c r="A737" s="418">
        <v>2110503</v>
      </c>
      <c r="B737" s="239" t="s">
        <v>702</v>
      </c>
      <c r="C737" s="343">
        <v>0</v>
      </c>
      <c r="D737" s="343"/>
      <c r="E737" s="343">
        <v>0</v>
      </c>
      <c r="F737" s="414"/>
      <c r="G737" s="346">
        <f t="shared" si="277"/>
        <v>0</v>
      </c>
      <c r="H737" s="414"/>
      <c r="I737" s="343"/>
      <c r="J737" s="307">
        <f t="shared" si="283"/>
        <v>0</v>
      </c>
      <c r="K737" s="306"/>
      <c r="M737">
        <f t="shared" si="289"/>
        <v>0</v>
      </c>
      <c r="N737" s="415"/>
      <c r="O737" s="415"/>
    </row>
    <row r="738" customFormat="1" ht="20" customHeight="1" spans="1:15">
      <c r="A738" s="418">
        <v>2110506</v>
      </c>
      <c r="B738" s="239" t="s">
        <v>703</v>
      </c>
      <c r="C738" s="343">
        <v>0</v>
      </c>
      <c r="D738" s="343"/>
      <c r="E738" s="343">
        <v>0</v>
      </c>
      <c r="F738" s="414"/>
      <c r="G738" s="346">
        <f t="shared" si="277"/>
        <v>0</v>
      </c>
      <c r="H738" s="414"/>
      <c r="I738" s="343"/>
      <c r="J738" s="307">
        <f t="shared" si="283"/>
        <v>0</v>
      </c>
      <c r="K738" s="306"/>
      <c r="M738">
        <f t="shared" si="289"/>
        <v>0</v>
      </c>
      <c r="N738" s="415"/>
      <c r="O738" s="415"/>
    </row>
    <row r="739" customFormat="1" ht="20" customHeight="1" spans="1:15">
      <c r="A739" s="418">
        <v>2110507</v>
      </c>
      <c r="B739" s="239" t="s">
        <v>704</v>
      </c>
      <c r="C739" s="343">
        <v>0</v>
      </c>
      <c r="D739" s="343"/>
      <c r="E739" s="343">
        <v>0</v>
      </c>
      <c r="F739" s="414"/>
      <c r="G739" s="346">
        <f t="shared" si="277"/>
        <v>0</v>
      </c>
      <c r="H739" s="414"/>
      <c r="I739" s="343"/>
      <c r="J739" s="307">
        <f t="shared" si="283"/>
        <v>0</v>
      </c>
      <c r="K739" s="306"/>
      <c r="M739">
        <f t="shared" si="289"/>
        <v>0</v>
      </c>
      <c r="N739" s="415"/>
      <c r="O739" s="415"/>
    </row>
    <row r="740" customFormat="1" ht="20" customHeight="1" spans="1:15">
      <c r="A740" s="418">
        <v>2110599</v>
      </c>
      <c r="B740" s="239" t="s">
        <v>705</v>
      </c>
      <c r="C740" s="343">
        <v>0</v>
      </c>
      <c r="D740" s="343"/>
      <c r="E740" s="343">
        <v>0</v>
      </c>
      <c r="F740" s="414"/>
      <c r="G740" s="346">
        <f t="shared" si="277"/>
        <v>0</v>
      </c>
      <c r="H740" s="414"/>
      <c r="I740" s="343"/>
      <c r="J740" s="307">
        <f t="shared" si="283"/>
        <v>0</v>
      </c>
      <c r="K740" s="306"/>
      <c r="M740">
        <f t="shared" si="289"/>
        <v>0</v>
      </c>
      <c r="N740" s="415"/>
      <c r="O740" s="415"/>
    </row>
    <row r="741" customFormat="1" ht="20" customHeight="1" spans="1:15">
      <c r="A741" s="416">
        <v>21107</v>
      </c>
      <c r="B741" s="427" t="s">
        <v>706</v>
      </c>
      <c r="C741" s="343">
        <v>0</v>
      </c>
      <c r="D741" s="343"/>
      <c r="E741" s="343">
        <v>0</v>
      </c>
      <c r="F741" s="414"/>
      <c r="G741" s="346">
        <f t="shared" si="277"/>
        <v>0</v>
      </c>
      <c r="H741" s="414"/>
      <c r="I741" s="343"/>
      <c r="J741" s="307">
        <f t="shared" si="283"/>
        <v>0</v>
      </c>
      <c r="K741" s="306"/>
      <c r="M741">
        <f t="shared" si="289"/>
        <v>0</v>
      </c>
      <c r="N741" s="415"/>
      <c r="O741" s="415"/>
    </row>
    <row r="742" customFormat="1" ht="20" customHeight="1" spans="1:15">
      <c r="A742" s="418">
        <v>2110704</v>
      </c>
      <c r="B742" s="239" t="s">
        <v>707</v>
      </c>
      <c r="C742" s="343">
        <v>0</v>
      </c>
      <c r="D742" s="343"/>
      <c r="E742" s="343">
        <v>0</v>
      </c>
      <c r="F742" s="414"/>
      <c r="G742" s="346">
        <f t="shared" si="277"/>
        <v>0</v>
      </c>
      <c r="H742" s="414"/>
      <c r="I742" s="343"/>
      <c r="J742" s="307">
        <f t="shared" si="283"/>
        <v>0</v>
      </c>
      <c r="K742" s="306"/>
      <c r="M742">
        <f t="shared" si="289"/>
        <v>0</v>
      </c>
      <c r="N742" s="415"/>
      <c r="O742" s="415"/>
    </row>
    <row r="743" customFormat="1" ht="20" customHeight="1" spans="1:15">
      <c r="A743" s="418">
        <v>2110799</v>
      </c>
      <c r="B743" s="239" t="s">
        <v>708</v>
      </c>
      <c r="C743" s="343">
        <v>0</v>
      </c>
      <c r="D743" s="343"/>
      <c r="E743" s="343">
        <v>0</v>
      </c>
      <c r="F743" s="414"/>
      <c r="G743" s="346">
        <f t="shared" si="277"/>
        <v>0</v>
      </c>
      <c r="H743" s="414"/>
      <c r="I743" s="343"/>
      <c r="J743" s="307">
        <f t="shared" si="283"/>
        <v>0</v>
      </c>
      <c r="K743" s="306"/>
      <c r="M743">
        <f t="shared" si="289"/>
        <v>0</v>
      </c>
      <c r="N743" s="415"/>
      <c r="O743" s="415"/>
    </row>
    <row r="744" customFormat="1" ht="20" customHeight="1" spans="1:15">
      <c r="A744" s="416">
        <v>21108</v>
      </c>
      <c r="B744" s="427" t="s">
        <v>709</v>
      </c>
      <c r="C744" s="343">
        <v>0</v>
      </c>
      <c r="D744" s="343"/>
      <c r="E744" s="343">
        <v>0</v>
      </c>
      <c r="F744" s="414"/>
      <c r="G744" s="346">
        <f t="shared" si="277"/>
        <v>0</v>
      </c>
      <c r="H744" s="414"/>
      <c r="I744" s="343"/>
      <c r="J744" s="307">
        <f t="shared" si="283"/>
        <v>0</v>
      </c>
      <c r="K744" s="306"/>
      <c r="M744">
        <f t="shared" si="289"/>
        <v>0</v>
      </c>
      <c r="N744" s="415"/>
      <c r="O744" s="415"/>
    </row>
    <row r="745" customFormat="1" ht="20" customHeight="1" spans="1:15">
      <c r="A745" s="418">
        <v>2110804</v>
      </c>
      <c r="B745" s="239" t="s">
        <v>710</v>
      </c>
      <c r="C745" s="343">
        <v>0</v>
      </c>
      <c r="D745" s="343"/>
      <c r="E745" s="343">
        <v>0</v>
      </c>
      <c r="F745" s="414"/>
      <c r="G745" s="346">
        <f t="shared" si="277"/>
        <v>0</v>
      </c>
      <c r="H745" s="414"/>
      <c r="I745" s="343"/>
      <c r="J745" s="307">
        <f t="shared" si="283"/>
        <v>0</v>
      </c>
      <c r="K745" s="306"/>
      <c r="M745">
        <f t="shared" si="289"/>
        <v>0</v>
      </c>
      <c r="N745" s="415"/>
      <c r="O745" s="415"/>
    </row>
    <row r="746" customFormat="1" ht="20" customHeight="1" spans="1:15">
      <c r="A746" s="418">
        <v>2110899</v>
      </c>
      <c r="B746" s="239" t="s">
        <v>711</v>
      </c>
      <c r="C746" s="343">
        <v>0</v>
      </c>
      <c r="D746" s="343"/>
      <c r="E746" s="343">
        <v>0</v>
      </c>
      <c r="F746" s="414"/>
      <c r="G746" s="346">
        <f t="shared" si="277"/>
        <v>0</v>
      </c>
      <c r="H746" s="414"/>
      <c r="I746" s="343"/>
      <c r="J746" s="307">
        <f t="shared" si="283"/>
        <v>0</v>
      </c>
      <c r="K746" s="306"/>
      <c r="M746">
        <f t="shared" si="289"/>
        <v>0</v>
      </c>
      <c r="N746" s="415"/>
      <c r="O746" s="415"/>
    </row>
    <row r="747" customFormat="1" ht="20" customHeight="1" spans="1:15">
      <c r="A747" s="416">
        <v>21109</v>
      </c>
      <c r="B747" s="427" t="s">
        <v>712</v>
      </c>
      <c r="C747" s="343">
        <v>0</v>
      </c>
      <c r="D747" s="343"/>
      <c r="E747" s="343">
        <v>0</v>
      </c>
      <c r="F747" s="414"/>
      <c r="G747" s="346">
        <f t="shared" si="277"/>
        <v>0</v>
      </c>
      <c r="H747" s="414"/>
      <c r="I747" s="343"/>
      <c r="J747" s="307">
        <f t="shared" si="283"/>
        <v>0</v>
      </c>
      <c r="K747" s="306"/>
      <c r="M747">
        <f t="shared" si="289"/>
        <v>0</v>
      </c>
      <c r="N747" s="415"/>
      <c r="O747" s="415"/>
    </row>
    <row r="748" customFormat="1" ht="20" customHeight="1" spans="1:15">
      <c r="A748" s="416">
        <v>21110</v>
      </c>
      <c r="B748" s="427" t="s">
        <v>713</v>
      </c>
      <c r="C748" s="343">
        <v>0.879907</v>
      </c>
      <c r="D748" s="343"/>
      <c r="E748" s="343"/>
      <c r="F748" s="414"/>
      <c r="G748" s="346">
        <f t="shared" si="277"/>
        <v>-0.879907</v>
      </c>
      <c r="H748" s="414">
        <f>G748/C748*100</f>
        <v>-100</v>
      </c>
      <c r="I748" s="343"/>
      <c r="J748" s="307">
        <f t="shared" si="283"/>
        <v>0</v>
      </c>
      <c r="K748" s="306"/>
      <c r="M748">
        <f t="shared" si="289"/>
        <v>0</v>
      </c>
      <c r="N748" s="415"/>
      <c r="O748" s="415"/>
    </row>
    <row r="749" customFormat="1" ht="20" customHeight="1" spans="1:15">
      <c r="A749" s="416">
        <v>21111</v>
      </c>
      <c r="B749" s="427" t="s">
        <v>714</v>
      </c>
      <c r="C749" s="343">
        <v>0</v>
      </c>
      <c r="D749" s="343"/>
      <c r="E749" s="343">
        <v>0</v>
      </c>
      <c r="F749" s="414"/>
      <c r="G749" s="346">
        <f t="shared" si="277"/>
        <v>0</v>
      </c>
      <c r="H749" s="414"/>
      <c r="I749" s="343"/>
      <c r="J749" s="307">
        <f t="shared" si="283"/>
        <v>0</v>
      </c>
      <c r="K749" s="306"/>
      <c r="M749">
        <f t="shared" si="289"/>
        <v>0</v>
      </c>
      <c r="N749" s="415"/>
      <c r="O749" s="415"/>
    </row>
    <row r="750" customFormat="1" ht="20" customHeight="1" spans="1:15">
      <c r="A750" s="418">
        <v>2111101</v>
      </c>
      <c r="B750" s="239" t="s">
        <v>715</v>
      </c>
      <c r="C750" s="307">
        <v>0</v>
      </c>
      <c r="D750" s="343"/>
      <c r="E750" s="307">
        <v>0</v>
      </c>
      <c r="F750" s="414"/>
      <c r="G750" s="346">
        <f t="shared" si="277"/>
        <v>0</v>
      </c>
      <c r="H750" s="414"/>
      <c r="I750" s="343"/>
      <c r="J750" s="307">
        <f t="shared" si="283"/>
        <v>0</v>
      </c>
      <c r="K750" s="306"/>
      <c r="M750">
        <f t="shared" si="289"/>
        <v>0</v>
      </c>
      <c r="N750" s="415"/>
      <c r="O750" s="415"/>
    </row>
    <row r="751" customFormat="1" ht="20" customHeight="1" spans="1:15">
      <c r="A751" s="418">
        <v>2111102</v>
      </c>
      <c r="B751" s="239" t="s">
        <v>716</v>
      </c>
      <c r="C751" s="307">
        <v>0</v>
      </c>
      <c r="D751" s="343"/>
      <c r="E751" s="307">
        <v>0</v>
      </c>
      <c r="F751" s="414"/>
      <c r="G751" s="346">
        <f t="shared" si="277"/>
        <v>0</v>
      </c>
      <c r="H751" s="414"/>
      <c r="I751" s="343"/>
      <c r="J751" s="307">
        <f t="shared" si="283"/>
        <v>0</v>
      </c>
      <c r="K751" s="306"/>
      <c r="M751">
        <f t="shared" si="289"/>
        <v>0</v>
      </c>
      <c r="N751" s="415"/>
      <c r="O751" s="415"/>
    </row>
    <row r="752" customFormat="1" ht="20" customHeight="1" spans="1:15">
      <c r="A752" s="418">
        <v>2111103</v>
      </c>
      <c r="B752" s="239" t="s">
        <v>717</v>
      </c>
      <c r="C752" s="307">
        <v>0</v>
      </c>
      <c r="D752" s="343"/>
      <c r="E752" s="307">
        <v>0</v>
      </c>
      <c r="F752" s="414"/>
      <c r="G752" s="346">
        <f t="shared" si="277"/>
        <v>0</v>
      </c>
      <c r="H752" s="414"/>
      <c r="I752" s="343"/>
      <c r="J752" s="307">
        <f t="shared" si="283"/>
        <v>0</v>
      </c>
      <c r="K752" s="306"/>
      <c r="M752">
        <f t="shared" si="289"/>
        <v>0</v>
      </c>
      <c r="N752" s="415"/>
      <c r="O752" s="415"/>
    </row>
    <row r="753" customFormat="1" ht="20" customHeight="1" spans="1:15">
      <c r="A753" s="418">
        <v>2111104</v>
      </c>
      <c r="B753" s="239" t="s">
        <v>718</v>
      </c>
      <c r="C753" s="307">
        <v>0</v>
      </c>
      <c r="D753" s="343"/>
      <c r="E753" s="307">
        <v>0</v>
      </c>
      <c r="F753" s="414"/>
      <c r="G753" s="346">
        <f t="shared" si="277"/>
        <v>0</v>
      </c>
      <c r="H753" s="414"/>
      <c r="I753" s="343"/>
      <c r="J753" s="307">
        <f t="shared" si="283"/>
        <v>0</v>
      </c>
      <c r="K753" s="306"/>
      <c r="M753">
        <f t="shared" si="289"/>
        <v>0</v>
      </c>
      <c r="N753" s="415"/>
      <c r="O753" s="415"/>
    </row>
    <row r="754" customFormat="1" ht="20" customHeight="1" spans="1:15">
      <c r="A754" s="418">
        <v>2111199</v>
      </c>
      <c r="B754" s="239" t="s">
        <v>719</v>
      </c>
      <c r="C754" s="307">
        <v>0</v>
      </c>
      <c r="D754" s="343"/>
      <c r="E754" s="307">
        <v>0</v>
      </c>
      <c r="F754" s="414"/>
      <c r="G754" s="346">
        <f t="shared" si="277"/>
        <v>0</v>
      </c>
      <c r="H754" s="414"/>
      <c r="I754" s="343"/>
      <c r="J754" s="307">
        <f t="shared" si="283"/>
        <v>0</v>
      </c>
      <c r="K754" s="306"/>
      <c r="M754">
        <f t="shared" si="289"/>
        <v>0</v>
      </c>
      <c r="N754" s="415"/>
      <c r="O754" s="415"/>
    </row>
    <row r="755" customFormat="1" ht="20" customHeight="1" spans="1:15">
      <c r="A755" s="416">
        <v>21112</v>
      </c>
      <c r="B755" s="427" t="s">
        <v>720</v>
      </c>
      <c r="C755" s="343">
        <v>0</v>
      </c>
      <c r="D755" s="343"/>
      <c r="E755" s="343">
        <v>0</v>
      </c>
      <c r="F755" s="414"/>
      <c r="G755" s="346">
        <f t="shared" si="277"/>
        <v>0</v>
      </c>
      <c r="H755" s="414"/>
      <c r="I755" s="343"/>
      <c r="J755" s="307">
        <f t="shared" si="283"/>
        <v>0</v>
      </c>
      <c r="K755" s="306"/>
      <c r="M755">
        <f t="shared" si="289"/>
        <v>0</v>
      </c>
      <c r="N755" s="415"/>
      <c r="O755" s="415"/>
    </row>
    <row r="756" customFormat="1" ht="20" customHeight="1" spans="1:15">
      <c r="A756" s="416">
        <v>21113</v>
      </c>
      <c r="B756" s="427" t="s">
        <v>721</v>
      </c>
      <c r="C756" s="343">
        <v>0</v>
      </c>
      <c r="D756" s="343"/>
      <c r="E756" s="343">
        <v>0</v>
      </c>
      <c r="F756" s="414"/>
      <c r="G756" s="346">
        <f t="shared" si="277"/>
        <v>0</v>
      </c>
      <c r="H756" s="414"/>
      <c r="I756" s="343"/>
      <c r="J756" s="307">
        <f t="shared" si="283"/>
        <v>0</v>
      </c>
      <c r="K756" s="306"/>
      <c r="M756">
        <f t="shared" si="289"/>
        <v>0</v>
      </c>
      <c r="N756" s="415"/>
      <c r="O756" s="415"/>
    </row>
    <row r="757" customFormat="1" ht="20" customHeight="1" spans="1:15">
      <c r="A757" s="416">
        <v>21114</v>
      </c>
      <c r="B757" s="427" t="s">
        <v>722</v>
      </c>
      <c r="C757" s="343">
        <v>0</v>
      </c>
      <c r="D757" s="343"/>
      <c r="E757" s="343">
        <v>0</v>
      </c>
      <c r="F757" s="414"/>
      <c r="G757" s="346">
        <f t="shared" si="277"/>
        <v>0</v>
      </c>
      <c r="H757" s="414"/>
      <c r="I757" s="343"/>
      <c r="J757" s="307">
        <f t="shared" si="283"/>
        <v>0</v>
      </c>
      <c r="K757" s="306"/>
      <c r="M757">
        <f t="shared" si="289"/>
        <v>0</v>
      </c>
      <c r="N757" s="415"/>
      <c r="O757" s="415"/>
    </row>
    <row r="758" customFormat="1" ht="20" customHeight="1" spans="1:15">
      <c r="A758" s="418">
        <v>2111401</v>
      </c>
      <c r="B758" s="239" t="s">
        <v>165</v>
      </c>
      <c r="C758" s="343">
        <v>0</v>
      </c>
      <c r="D758" s="343"/>
      <c r="E758" s="343">
        <v>0</v>
      </c>
      <c r="F758" s="414"/>
      <c r="G758" s="346">
        <f t="shared" si="277"/>
        <v>0</v>
      </c>
      <c r="H758" s="414"/>
      <c r="I758" s="343"/>
      <c r="J758" s="307">
        <f t="shared" si="283"/>
        <v>0</v>
      </c>
      <c r="K758" s="306"/>
      <c r="M758">
        <f t="shared" si="289"/>
        <v>0</v>
      </c>
      <c r="N758" s="415"/>
      <c r="O758" s="415"/>
    </row>
    <row r="759" customFormat="1" ht="20" customHeight="1" spans="1:15">
      <c r="A759" s="418">
        <v>2111402</v>
      </c>
      <c r="B759" s="239" t="s">
        <v>166</v>
      </c>
      <c r="C759" s="343">
        <v>0</v>
      </c>
      <c r="D759" s="343"/>
      <c r="E759" s="343">
        <v>0</v>
      </c>
      <c r="F759" s="414"/>
      <c r="G759" s="346">
        <f t="shared" si="277"/>
        <v>0</v>
      </c>
      <c r="H759" s="414"/>
      <c r="I759" s="343"/>
      <c r="J759" s="307">
        <f t="shared" si="283"/>
        <v>0</v>
      </c>
      <c r="K759" s="306"/>
      <c r="M759">
        <f t="shared" si="289"/>
        <v>0</v>
      </c>
      <c r="N759" s="415"/>
      <c r="O759" s="415"/>
    </row>
    <row r="760" customFormat="1" ht="20" customHeight="1" spans="1:15">
      <c r="A760" s="418">
        <v>2111403</v>
      </c>
      <c r="B760" s="239" t="s">
        <v>167</v>
      </c>
      <c r="C760" s="343">
        <v>0</v>
      </c>
      <c r="D760" s="343"/>
      <c r="E760" s="343">
        <v>0</v>
      </c>
      <c r="F760" s="414"/>
      <c r="G760" s="346">
        <f t="shared" si="277"/>
        <v>0</v>
      </c>
      <c r="H760" s="414"/>
      <c r="I760" s="343"/>
      <c r="J760" s="307">
        <f t="shared" si="283"/>
        <v>0</v>
      </c>
      <c r="K760" s="306"/>
      <c r="M760">
        <f t="shared" si="289"/>
        <v>0</v>
      </c>
      <c r="N760" s="415"/>
      <c r="O760" s="415"/>
    </row>
    <row r="761" customFormat="1" ht="20" customHeight="1" spans="1:15">
      <c r="A761" s="418">
        <v>2111406</v>
      </c>
      <c r="B761" s="239" t="s">
        <v>723</v>
      </c>
      <c r="C761" s="343">
        <v>0</v>
      </c>
      <c r="D761" s="343"/>
      <c r="E761" s="343">
        <v>0</v>
      </c>
      <c r="F761" s="414"/>
      <c r="G761" s="346">
        <f t="shared" si="277"/>
        <v>0</v>
      </c>
      <c r="H761" s="414"/>
      <c r="I761" s="343"/>
      <c r="J761" s="307">
        <f t="shared" si="283"/>
        <v>0</v>
      </c>
      <c r="K761" s="306"/>
      <c r="M761">
        <f t="shared" si="289"/>
        <v>0</v>
      </c>
      <c r="N761" s="415"/>
      <c r="O761" s="415"/>
    </row>
    <row r="762" customFormat="1" ht="20" customHeight="1" spans="1:15">
      <c r="A762" s="418">
        <v>2111407</v>
      </c>
      <c r="B762" s="239" t="s">
        <v>724</v>
      </c>
      <c r="C762" s="343">
        <v>0</v>
      </c>
      <c r="D762" s="343"/>
      <c r="E762" s="343">
        <v>0</v>
      </c>
      <c r="F762" s="414"/>
      <c r="G762" s="346">
        <f t="shared" si="277"/>
        <v>0</v>
      </c>
      <c r="H762" s="414"/>
      <c r="I762" s="343"/>
      <c r="J762" s="307">
        <f t="shared" si="283"/>
        <v>0</v>
      </c>
      <c r="K762" s="306"/>
      <c r="M762">
        <f t="shared" si="289"/>
        <v>0</v>
      </c>
      <c r="N762" s="415"/>
      <c r="O762" s="415"/>
    </row>
    <row r="763" customFormat="1" ht="20" customHeight="1" spans="1:15">
      <c r="A763" s="418">
        <v>2111408</v>
      </c>
      <c r="B763" s="239" t="s">
        <v>725</v>
      </c>
      <c r="C763" s="343">
        <v>0</v>
      </c>
      <c r="D763" s="343"/>
      <c r="E763" s="343">
        <v>0</v>
      </c>
      <c r="F763" s="414"/>
      <c r="G763" s="346">
        <f t="shared" si="277"/>
        <v>0</v>
      </c>
      <c r="H763" s="414"/>
      <c r="I763" s="343"/>
      <c r="J763" s="307">
        <f t="shared" si="283"/>
        <v>0</v>
      </c>
      <c r="K763" s="306"/>
      <c r="M763">
        <f t="shared" si="289"/>
        <v>0</v>
      </c>
      <c r="N763" s="415"/>
      <c r="O763" s="415"/>
    </row>
    <row r="764" customFormat="1" ht="20" customHeight="1" spans="1:15">
      <c r="A764" s="418">
        <v>2111411</v>
      </c>
      <c r="B764" s="239" t="s">
        <v>207</v>
      </c>
      <c r="C764" s="343">
        <v>0</v>
      </c>
      <c r="D764" s="343"/>
      <c r="E764" s="343">
        <v>0</v>
      </c>
      <c r="F764" s="414"/>
      <c r="G764" s="346">
        <f t="shared" si="277"/>
        <v>0</v>
      </c>
      <c r="H764" s="414"/>
      <c r="I764" s="343"/>
      <c r="J764" s="307">
        <f t="shared" si="283"/>
        <v>0</v>
      </c>
      <c r="K764" s="306"/>
      <c r="M764">
        <f t="shared" si="289"/>
        <v>0</v>
      </c>
      <c r="N764" s="415"/>
      <c r="O764" s="415"/>
    </row>
    <row r="765" customFormat="1" ht="20" customHeight="1" spans="1:15">
      <c r="A765" s="418">
        <v>2111413</v>
      </c>
      <c r="B765" s="239" t="s">
        <v>726</v>
      </c>
      <c r="C765" s="343">
        <v>0</v>
      </c>
      <c r="D765" s="343"/>
      <c r="E765" s="343">
        <v>0</v>
      </c>
      <c r="F765" s="414"/>
      <c r="G765" s="346">
        <f t="shared" si="277"/>
        <v>0</v>
      </c>
      <c r="H765" s="414"/>
      <c r="I765" s="343"/>
      <c r="J765" s="307">
        <f t="shared" si="283"/>
        <v>0</v>
      </c>
      <c r="K765" s="306"/>
      <c r="M765">
        <f t="shared" si="289"/>
        <v>0</v>
      </c>
      <c r="N765" s="415"/>
      <c r="O765" s="415"/>
    </row>
    <row r="766" customFormat="1" ht="20" customHeight="1" spans="1:15">
      <c r="A766" s="418">
        <v>2111450</v>
      </c>
      <c r="B766" s="239" t="s">
        <v>174</v>
      </c>
      <c r="C766" s="343">
        <v>0</v>
      </c>
      <c r="D766" s="343"/>
      <c r="E766" s="343">
        <v>0</v>
      </c>
      <c r="F766" s="414"/>
      <c r="G766" s="346">
        <f t="shared" ref="G766:G829" si="291">E766-C766</f>
        <v>0</v>
      </c>
      <c r="H766" s="414"/>
      <c r="I766" s="343"/>
      <c r="J766" s="307">
        <f t="shared" si="283"/>
        <v>0</v>
      </c>
      <c r="K766" s="306"/>
      <c r="M766">
        <f t="shared" si="289"/>
        <v>0</v>
      </c>
      <c r="N766" s="415"/>
      <c r="O766" s="415"/>
    </row>
    <row r="767" customFormat="1" ht="20" customHeight="1" spans="1:15">
      <c r="A767" s="418">
        <v>2111499</v>
      </c>
      <c r="B767" s="239" t="s">
        <v>727</v>
      </c>
      <c r="C767" s="343">
        <v>0</v>
      </c>
      <c r="D767" s="343"/>
      <c r="E767" s="343">
        <v>0</v>
      </c>
      <c r="F767" s="414"/>
      <c r="G767" s="346">
        <f t="shared" si="291"/>
        <v>0</v>
      </c>
      <c r="H767" s="414"/>
      <c r="I767" s="343"/>
      <c r="J767" s="307">
        <f t="shared" si="283"/>
        <v>0</v>
      </c>
      <c r="K767" s="306"/>
      <c r="M767">
        <f t="shared" si="289"/>
        <v>0</v>
      </c>
      <c r="N767" s="415"/>
      <c r="O767" s="415"/>
    </row>
    <row r="768" customFormat="1" ht="20" customHeight="1" spans="1:15">
      <c r="A768" s="416">
        <v>21199</v>
      </c>
      <c r="B768" s="427" t="s">
        <v>728</v>
      </c>
      <c r="C768" s="343">
        <v>0</v>
      </c>
      <c r="D768" s="343"/>
      <c r="E768" s="343">
        <v>0</v>
      </c>
      <c r="F768" s="414"/>
      <c r="G768" s="346">
        <f t="shared" si="291"/>
        <v>0</v>
      </c>
      <c r="H768" s="414"/>
      <c r="I768" s="343"/>
      <c r="J768" s="307">
        <f t="shared" si="283"/>
        <v>0</v>
      </c>
      <c r="K768" s="306"/>
      <c r="M768">
        <f t="shared" si="289"/>
        <v>0</v>
      </c>
      <c r="N768" s="415"/>
      <c r="O768" s="415"/>
    </row>
    <row r="769" s="278" customFormat="1" ht="20" customHeight="1" spans="1:17">
      <c r="A769" s="412">
        <v>212</v>
      </c>
      <c r="B769" s="413" t="s">
        <v>729</v>
      </c>
      <c r="C769" s="346">
        <f>C770+C781+C782+C785+C786+C787</f>
        <v>17726.484447</v>
      </c>
      <c r="D769" s="346">
        <f t="shared" ref="D769:I769" si="292">D770+D781+D782+D785+D786+D787</f>
        <v>6387.2233</v>
      </c>
      <c r="E769" s="346">
        <f t="shared" si="292"/>
        <v>14389</v>
      </c>
      <c r="F769" s="414">
        <f t="shared" ref="F769:F772" si="293">E769/D769*100</f>
        <v>225.277860568927</v>
      </c>
      <c r="G769" s="346">
        <f t="shared" si="291"/>
        <v>-3337.484447</v>
      </c>
      <c r="H769" s="414">
        <f t="shared" ref="H769:H772" si="294">G769/C769*100</f>
        <v>-18.8276725539047</v>
      </c>
      <c r="I769" s="346">
        <f t="shared" si="292"/>
        <v>12570.073921</v>
      </c>
      <c r="J769" s="307">
        <f t="shared" si="283"/>
        <v>6182.850621</v>
      </c>
      <c r="K769" s="306">
        <f t="shared" ref="K769:K772" si="295">J769/D769*100</f>
        <v>96.800289117808</v>
      </c>
      <c r="M769" s="278">
        <f t="shared" si="289"/>
        <v>0</v>
      </c>
      <c r="N769" s="415"/>
      <c r="O769" s="415"/>
    </row>
    <row r="770" customFormat="1" ht="20" customHeight="1" spans="1:17">
      <c r="A770" s="416">
        <v>21201</v>
      </c>
      <c r="B770" s="427" t="s">
        <v>730</v>
      </c>
      <c r="C770" s="343">
        <f>SUM(C771:C780)</f>
        <v>7947.952524</v>
      </c>
      <c r="D770" s="343">
        <f t="shared" ref="D770:I770" si="296">SUM(D771:D780)</f>
        <v>4704.828573</v>
      </c>
      <c r="E770" s="343">
        <f t="shared" si="296"/>
        <v>5525</v>
      </c>
      <c r="F770" s="414">
        <f t="shared" si="293"/>
        <v>117.432546463155</v>
      </c>
      <c r="G770" s="346">
        <f t="shared" si="291"/>
        <v>-2422.952524</v>
      </c>
      <c r="H770" s="414">
        <f t="shared" si="294"/>
        <v>-30.4852415346411</v>
      </c>
      <c r="I770" s="343">
        <f t="shared" si="296"/>
        <v>5159.850207</v>
      </c>
      <c r="J770" s="307">
        <f t="shared" si="283"/>
        <v>455.021634</v>
      </c>
      <c r="K770" s="306">
        <f t="shared" si="295"/>
        <v>9.67137541655122</v>
      </c>
      <c r="M770">
        <f t="shared" si="289"/>
        <v>0</v>
      </c>
      <c r="N770" s="415"/>
      <c r="O770" s="415"/>
    </row>
    <row r="771" customFormat="1" ht="20" customHeight="1" spans="1:17">
      <c r="A771" s="418">
        <v>2120101</v>
      </c>
      <c r="B771" s="239" t="s">
        <v>731</v>
      </c>
      <c r="C771" s="307">
        <v>1762.417336</v>
      </c>
      <c r="D771" s="343">
        <v>687.236437</v>
      </c>
      <c r="E771" s="307">
        <v>1082</v>
      </c>
      <c r="F771" s="414">
        <f t="shared" si="293"/>
        <v>157.442175901392</v>
      </c>
      <c r="G771" s="346">
        <f t="shared" si="291"/>
        <v>-680.417336</v>
      </c>
      <c r="H771" s="414">
        <f t="shared" si="294"/>
        <v>-38.6070496528525</v>
      </c>
      <c r="I771" s="343">
        <v>581.63</v>
      </c>
      <c r="J771" s="307">
        <f t="shared" si="283"/>
        <v>-105.606437</v>
      </c>
      <c r="K771" s="306">
        <f t="shared" si="295"/>
        <v>-15.3668273849106</v>
      </c>
      <c r="M771">
        <f t="shared" si="289"/>
        <v>467</v>
      </c>
      <c r="N771" s="415">
        <v>467</v>
      </c>
      <c r="O771" s="415"/>
    </row>
    <row r="772" customFormat="1" ht="20" customHeight="1" spans="1:17">
      <c r="A772" s="418">
        <v>2120102</v>
      </c>
      <c r="B772" s="239" t="s">
        <v>732</v>
      </c>
      <c r="C772" s="307">
        <v>2635.602886</v>
      </c>
      <c r="D772" s="343">
        <v>47.82051</v>
      </c>
      <c r="E772" s="307">
        <v>159</v>
      </c>
      <c r="F772" s="414">
        <f t="shared" si="293"/>
        <v>332.493317197997</v>
      </c>
      <c r="G772" s="346">
        <f t="shared" si="291"/>
        <v>-2476.602886</v>
      </c>
      <c r="H772" s="414">
        <f t="shared" si="294"/>
        <v>-93.9672246966875</v>
      </c>
      <c r="I772" s="343">
        <v>172.46</v>
      </c>
      <c r="J772" s="307">
        <f t="shared" si="283"/>
        <v>124.63949</v>
      </c>
      <c r="K772" s="306">
        <f t="shared" si="295"/>
        <v>260.640235748218</v>
      </c>
      <c r="M772">
        <f t="shared" si="289"/>
        <v>76</v>
      </c>
      <c r="N772" s="415">
        <v>76</v>
      </c>
      <c r="O772" s="415"/>
    </row>
    <row r="773" customFormat="1" ht="20" customHeight="1" spans="1:17">
      <c r="A773" s="418">
        <v>2120103</v>
      </c>
      <c r="B773" s="239" t="s">
        <v>733</v>
      </c>
      <c r="C773" s="307">
        <v>0</v>
      </c>
      <c r="D773" s="343"/>
      <c r="E773" s="307">
        <v>0</v>
      </c>
      <c r="F773" s="414"/>
      <c r="G773" s="346">
        <f t="shared" si="291"/>
        <v>0</v>
      </c>
      <c r="H773" s="414"/>
      <c r="I773" s="343"/>
      <c r="J773" s="307">
        <f t="shared" si="283"/>
        <v>0</v>
      </c>
      <c r="K773" s="306"/>
      <c r="M773">
        <f t="shared" si="289"/>
        <v>0</v>
      </c>
      <c r="N773" s="415"/>
      <c r="O773" s="415"/>
    </row>
    <row r="774" customFormat="1" ht="20" customHeight="1" spans="1:17">
      <c r="A774" s="418">
        <v>2120104</v>
      </c>
      <c r="B774" s="239" t="s">
        <v>734</v>
      </c>
      <c r="C774" s="307">
        <v>1045.6134</v>
      </c>
      <c r="D774" s="343">
        <v>1495.098553</v>
      </c>
      <c r="E774" s="307">
        <v>1804</v>
      </c>
      <c r="F774" s="414">
        <f>E774/D774*100</f>
        <v>120.660942141919</v>
      </c>
      <c r="G774" s="346">
        <f t="shared" si="291"/>
        <v>758.3866</v>
      </c>
      <c r="H774" s="414">
        <f>G774/C774*100</f>
        <v>72.5303061341792</v>
      </c>
      <c r="I774" s="343">
        <v>1789.14</v>
      </c>
      <c r="J774" s="307">
        <f t="shared" ref="J774:J837" si="297">I774-D774</f>
        <v>294.041447</v>
      </c>
      <c r="K774" s="306">
        <f>J774/D774*100</f>
        <v>19.6670277293754</v>
      </c>
      <c r="M774">
        <f t="shared" si="289"/>
        <v>532</v>
      </c>
      <c r="N774" s="415">
        <v>532</v>
      </c>
      <c r="O774" s="415"/>
    </row>
    <row r="775" customFormat="1" ht="20" customHeight="1" spans="1:17">
      <c r="A775" s="418">
        <v>2120105</v>
      </c>
      <c r="B775" s="239" t="s">
        <v>735</v>
      </c>
      <c r="C775" s="307">
        <v>0</v>
      </c>
      <c r="D775" s="343"/>
      <c r="E775" s="307">
        <v>0</v>
      </c>
      <c r="F775" s="414"/>
      <c r="G775" s="346">
        <f t="shared" si="291"/>
        <v>0</v>
      </c>
      <c r="H775" s="414"/>
      <c r="I775" s="343"/>
      <c r="J775" s="307">
        <f t="shared" si="297"/>
        <v>0</v>
      </c>
      <c r="K775" s="306"/>
      <c r="M775">
        <f t="shared" si="289"/>
        <v>0</v>
      </c>
      <c r="N775" s="415"/>
      <c r="O775" s="415"/>
    </row>
    <row r="776" customFormat="1" ht="20" customHeight="1" spans="1:17">
      <c r="A776" s="418">
        <v>2120106</v>
      </c>
      <c r="B776" s="239" t="s">
        <v>736</v>
      </c>
      <c r="C776" s="307">
        <v>92.891597</v>
      </c>
      <c r="D776" s="425">
        <v>89.173095</v>
      </c>
      <c r="E776" s="307">
        <v>84</v>
      </c>
      <c r="F776" s="414">
        <f>E776/D776*100</f>
        <v>94.19881635823</v>
      </c>
      <c r="G776" s="346">
        <f t="shared" si="291"/>
        <v>-8.891597</v>
      </c>
      <c r="H776" s="414">
        <f>G776/C776*100</f>
        <v>-9.57201435561497</v>
      </c>
      <c r="I776" s="420">
        <v>81.130207</v>
      </c>
      <c r="J776" s="307">
        <f t="shared" si="297"/>
        <v>-8.042888</v>
      </c>
      <c r="K776" s="306">
        <f>J776/D776*100</f>
        <v>-9.01941106787872</v>
      </c>
      <c r="M776">
        <f t="shared" si="289"/>
        <v>92</v>
      </c>
      <c r="N776" s="415">
        <v>92</v>
      </c>
      <c r="O776" s="415"/>
    </row>
    <row r="777" customFormat="1" ht="20" customHeight="1" spans="1:17">
      <c r="A777" s="418">
        <v>2120107</v>
      </c>
      <c r="B777" s="239" t="s">
        <v>737</v>
      </c>
      <c r="C777" s="307">
        <v>0</v>
      </c>
      <c r="D777" s="343"/>
      <c r="E777" s="307">
        <v>0</v>
      </c>
      <c r="F777" s="414"/>
      <c r="G777" s="346">
        <f t="shared" si="291"/>
        <v>0</v>
      </c>
      <c r="H777" s="414"/>
      <c r="I777" s="343"/>
      <c r="J777" s="307">
        <f t="shared" si="297"/>
        <v>0</v>
      </c>
      <c r="K777" s="306"/>
      <c r="M777">
        <f t="shared" si="289"/>
        <v>0</v>
      </c>
      <c r="N777" s="415"/>
      <c r="O777" s="415"/>
    </row>
    <row r="778" customFormat="1" ht="20" customHeight="1" spans="1:17">
      <c r="A778" s="418">
        <v>2120109</v>
      </c>
      <c r="B778" s="239" t="s">
        <v>738</v>
      </c>
      <c r="C778" s="307">
        <v>0</v>
      </c>
      <c r="D778" s="343"/>
      <c r="E778" s="307">
        <v>0</v>
      </c>
      <c r="F778" s="414"/>
      <c r="G778" s="346">
        <f t="shared" si="291"/>
        <v>0</v>
      </c>
      <c r="H778" s="414"/>
      <c r="I778" s="343"/>
      <c r="J778" s="307">
        <f t="shared" si="297"/>
        <v>0</v>
      </c>
      <c r="K778" s="306"/>
      <c r="M778">
        <f t="shared" si="289"/>
        <v>0</v>
      </c>
      <c r="N778" s="415"/>
      <c r="O778" s="415"/>
    </row>
    <row r="779" customFormat="1" ht="20" customHeight="1" spans="1:17">
      <c r="A779" s="418">
        <v>2120110</v>
      </c>
      <c r="B779" s="239" t="s">
        <v>739</v>
      </c>
      <c r="C779" s="307">
        <v>0</v>
      </c>
      <c r="D779" s="343"/>
      <c r="E779" s="307">
        <v>0</v>
      </c>
      <c r="F779" s="414"/>
      <c r="G779" s="346">
        <f t="shared" si="291"/>
        <v>0</v>
      </c>
      <c r="H779" s="414"/>
      <c r="I779" s="343"/>
      <c r="J779" s="307">
        <f t="shared" si="297"/>
        <v>0</v>
      </c>
      <c r="K779" s="306"/>
      <c r="M779">
        <f t="shared" si="289"/>
        <v>0</v>
      </c>
      <c r="N779" s="415"/>
      <c r="O779" s="415"/>
    </row>
    <row r="780" customFormat="1" ht="20" customHeight="1" spans="1:17">
      <c r="A780" s="418">
        <v>2120199</v>
      </c>
      <c r="B780" s="239" t="s">
        <v>740</v>
      </c>
      <c r="C780" s="307">
        <v>2411.427305</v>
      </c>
      <c r="D780" s="343">
        <v>2385.499978</v>
      </c>
      <c r="E780" s="307">
        <v>2396</v>
      </c>
      <c r="F780" s="414">
        <f t="shared" ref="F780:F785" si="298">E780/D780*100</f>
        <v>100.440160222043</v>
      </c>
      <c r="G780" s="346">
        <f t="shared" si="291"/>
        <v>-15.4273050000002</v>
      </c>
      <c r="H780" s="414">
        <f t="shared" ref="H780:H785" si="299">G780/C780*100</f>
        <v>-0.639758244754559</v>
      </c>
      <c r="I780" s="343">
        <f>2514.49+21</f>
        <v>2535.49</v>
      </c>
      <c r="J780" s="307">
        <f t="shared" si="297"/>
        <v>149.990022</v>
      </c>
      <c r="K780" s="306">
        <f t="shared" ref="K780:K785" si="300">J780/D780*100</f>
        <v>6.28757172011175</v>
      </c>
      <c r="M780">
        <f t="shared" si="289"/>
        <v>2189</v>
      </c>
      <c r="N780" s="415">
        <v>2189</v>
      </c>
      <c r="O780" s="415"/>
    </row>
    <row r="781" customFormat="1" ht="20" customHeight="1" spans="1:17">
      <c r="A781" s="416">
        <v>21202</v>
      </c>
      <c r="B781" s="427" t="s">
        <v>741</v>
      </c>
      <c r="C781" s="343">
        <v>0</v>
      </c>
      <c r="D781" s="343"/>
      <c r="E781" s="343">
        <v>0</v>
      </c>
      <c r="F781" s="414"/>
      <c r="G781" s="346">
        <f t="shared" si="291"/>
        <v>0</v>
      </c>
      <c r="H781" s="414"/>
      <c r="I781" s="343"/>
      <c r="J781" s="307">
        <f t="shared" si="297"/>
        <v>0</v>
      </c>
      <c r="K781" s="306"/>
      <c r="M781">
        <f t="shared" si="289"/>
        <v>0</v>
      </c>
      <c r="N781" s="415"/>
      <c r="O781" s="415"/>
    </row>
    <row r="782" customFormat="1" ht="20" customHeight="1" spans="1:17">
      <c r="A782" s="416">
        <v>21203</v>
      </c>
      <c r="B782" s="427" t="s">
        <v>742</v>
      </c>
      <c r="C782" s="343">
        <v>5666.254888</v>
      </c>
      <c r="D782" s="343">
        <f>SUM(D783:D784)</f>
        <v>226.684969</v>
      </c>
      <c r="E782" s="343">
        <f>E783+E784</f>
        <v>5677</v>
      </c>
      <c r="F782" s="414">
        <f t="shared" si="298"/>
        <v>2504.35660778197</v>
      </c>
      <c r="G782" s="346">
        <f t="shared" si="291"/>
        <v>10.7451119999996</v>
      </c>
      <c r="H782" s="414">
        <f t="shared" si="299"/>
        <v>0.189633403586479</v>
      </c>
      <c r="I782" s="343">
        <f>SUM(I783:I784)</f>
        <v>3532.95</v>
      </c>
      <c r="J782" s="307">
        <f t="shared" si="297"/>
        <v>3306.265031</v>
      </c>
      <c r="K782" s="306">
        <f t="shared" si="300"/>
        <v>1458.52856745874</v>
      </c>
      <c r="M782">
        <f t="shared" si="289"/>
        <v>0</v>
      </c>
      <c r="N782" s="415"/>
      <c r="O782" s="415"/>
    </row>
    <row r="783" customFormat="1" ht="20" customHeight="1" spans="1:17">
      <c r="A783" s="418">
        <v>2120303</v>
      </c>
      <c r="B783" s="239" t="s">
        <v>743</v>
      </c>
      <c r="C783" s="307">
        <v>0</v>
      </c>
      <c r="D783" s="343"/>
      <c r="E783" s="307">
        <v>0</v>
      </c>
      <c r="F783" s="414"/>
      <c r="G783" s="346">
        <f t="shared" si="291"/>
        <v>0</v>
      </c>
      <c r="H783" s="414"/>
      <c r="I783" s="343"/>
      <c r="J783" s="307">
        <f t="shared" si="297"/>
        <v>0</v>
      </c>
      <c r="K783" s="306"/>
      <c r="M783">
        <f t="shared" si="289"/>
        <v>0</v>
      </c>
      <c r="N783" s="415"/>
      <c r="O783" s="415"/>
    </row>
    <row r="784" customFormat="1" ht="20" customHeight="1" spans="1:17">
      <c r="A784" s="418">
        <v>2120399</v>
      </c>
      <c r="B784" s="239" t="s">
        <v>744</v>
      </c>
      <c r="C784" s="307">
        <v>5666.254888</v>
      </c>
      <c r="D784" s="343">
        <v>226.684969</v>
      </c>
      <c r="E784" s="307">
        <v>5677</v>
      </c>
      <c r="F784" s="414">
        <f t="shared" si="298"/>
        <v>2504.35660778197</v>
      </c>
      <c r="G784" s="346">
        <f t="shared" si="291"/>
        <v>10.7451119999996</v>
      </c>
      <c r="H784" s="414">
        <f t="shared" si="299"/>
        <v>0.189633403586479</v>
      </c>
      <c r="I784" s="343">
        <f>1137.95+2395</f>
        <v>3532.95</v>
      </c>
      <c r="J784" s="307">
        <f t="shared" si="297"/>
        <v>3306.265031</v>
      </c>
      <c r="K784" s="306">
        <f t="shared" si="300"/>
        <v>1458.52856745874</v>
      </c>
      <c r="M784">
        <f t="shared" si="289"/>
        <v>80</v>
      </c>
      <c r="N784" s="415">
        <v>80</v>
      </c>
      <c r="O784" s="415"/>
      <c r="Q784">
        <v>2009</v>
      </c>
    </row>
    <row r="785" customFormat="1" ht="20" customHeight="1" spans="1:17">
      <c r="A785" s="437">
        <v>21205</v>
      </c>
      <c r="B785" s="427" t="s">
        <v>745</v>
      </c>
      <c r="C785" s="343">
        <v>2807.170603</v>
      </c>
      <c r="D785" s="343">
        <v>1096.010939</v>
      </c>
      <c r="E785" s="343">
        <v>2520</v>
      </c>
      <c r="F785" s="414">
        <f t="shared" si="298"/>
        <v>229.924712457637</v>
      </c>
      <c r="G785" s="346">
        <f t="shared" si="291"/>
        <v>-287.170603</v>
      </c>
      <c r="H785" s="414">
        <f t="shared" si="299"/>
        <v>-10.2298949231337</v>
      </c>
      <c r="I785" s="343">
        <v>2776.91</v>
      </c>
      <c r="J785" s="307">
        <f t="shared" si="297"/>
        <v>1680.899061</v>
      </c>
      <c r="K785" s="306">
        <f t="shared" si="300"/>
        <v>153.365171932832</v>
      </c>
      <c r="M785">
        <f t="shared" si="289"/>
        <v>787</v>
      </c>
      <c r="N785" s="415">
        <v>787</v>
      </c>
      <c r="O785" s="415"/>
    </row>
    <row r="786" customFormat="1" ht="20" customHeight="1" spans="1:17">
      <c r="A786" s="437">
        <v>21206</v>
      </c>
      <c r="B786" s="427" t="s">
        <v>746</v>
      </c>
      <c r="C786" s="343">
        <v>0</v>
      </c>
      <c r="D786" s="343"/>
      <c r="E786" s="343">
        <v>0</v>
      </c>
      <c r="F786" s="414"/>
      <c r="G786" s="346">
        <f t="shared" si="291"/>
        <v>0</v>
      </c>
      <c r="H786" s="414"/>
      <c r="I786" s="343"/>
      <c r="J786" s="307">
        <f t="shared" si="297"/>
        <v>0</v>
      </c>
      <c r="K786" s="306"/>
      <c r="M786">
        <f t="shared" si="289"/>
        <v>0</v>
      </c>
      <c r="N786" s="415"/>
      <c r="O786" s="415"/>
    </row>
    <row r="787" customFormat="1" ht="20" customHeight="1" spans="1:17">
      <c r="A787" s="437">
        <v>21299</v>
      </c>
      <c r="B787" s="427" t="s">
        <v>747</v>
      </c>
      <c r="C787" s="343">
        <v>1305.106432</v>
      </c>
      <c r="D787" s="425">
        <f>303.698819+56</f>
        <v>359.698819</v>
      </c>
      <c r="E787" s="343">
        <v>667</v>
      </c>
      <c r="F787" s="414">
        <f t="shared" ref="F787:F791" si="301">E787/D787*100</f>
        <v>185.432913528693</v>
      </c>
      <c r="G787" s="346">
        <f t="shared" si="291"/>
        <v>-638.106432</v>
      </c>
      <c r="H787" s="414">
        <f t="shared" ref="H787:H791" si="302">G787/C787*100</f>
        <v>-48.893057022341</v>
      </c>
      <c r="I787" s="420">
        <f>413.363714+787-100</f>
        <v>1100.363714</v>
      </c>
      <c r="J787" s="307">
        <f t="shared" si="297"/>
        <v>740.664895</v>
      </c>
      <c r="K787" s="306">
        <f t="shared" ref="K787:K791" si="303">J787/D787*100</f>
        <v>205.912517883469</v>
      </c>
      <c r="M787">
        <f t="shared" si="289"/>
        <v>341</v>
      </c>
      <c r="N787" s="415">
        <v>341</v>
      </c>
      <c r="O787" s="415"/>
    </row>
    <row r="788" s="278" customFormat="1" ht="20" customHeight="1" spans="1:17">
      <c r="A788" s="412">
        <v>213</v>
      </c>
      <c r="B788" s="413" t="s">
        <v>748</v>
      </c>
      <c r="C788" s="346">
        <f>SUM(C789:C894)/2</f>
        <v>43896.947423</v>
      </c>
      <c r="D788" s="346">
        <f t="shared" ref="D788:I788" si="304">SUM(D789:D894)/2</f>
        <v>32769.621872</v>
      </c>
      <c r="E788" s="346">
        <f t="shared" si="304"/>
        <v>45474</v>
      </c>
      <c r="F788" s="414">
        <f t="shared" si="301"/>
        <v>138.768766321516</v>
      </c>
      <c r="G788" s="346">
        <f t="shared" si="291"/>
        <v>1577.05257700001</v>
      </c>
      <c r="H788" s="414">
        <f t="shared" si="302"/>
        <v>3.59262470304189</v>
      </c>
      <c r="I788" s="346">
        <f t="shared" si="304"/>
        <v>34546.674927</v>
      </c>
      <c r="J788" s="307">
        <f t="shared" si="297"/>
        <v>1777.05305499998</v>
      </c>
      <c r="K788" s="306">
        <f t="shared" si="303"/>
        <v>5.42286713573093</v>
      </c>
      <c r="M788" s="278">
        <f t="shared" si="289"/>
        <v>0</v>
      </c>
      <c r="N788" s="415"/>
      <c r="O788" s="415"/>
    </row>
    <row r="789" customFormat="1" ht="20" customHeight="1" spans="1:17">
      <c r="A789" s="437">
        <v>21301</v>
      </c>
      <c r="B789" s="427" t="s">
        <v>749</v>
      </c>
      <c r="C789" s="343">
        <f>SUM(C790:C814)</f>
        <v>15091.018842</v>
      </c>
      <c r="D789" s="343">
        <f t="shared" ref="D789:I789" si="305">SUM(D790:D814)</f>
        <v>9582.691945</v>
      </c>
      <c r="E789" s="343">
        <f t="shared" si="305"/>
        <v>14592</v>
      </c>
      <c r="F789" s="414">
        <f t="shared" si="301"/>
        <v>152.274539176997</v>
      </c>
      <c r="G789" s="346">
        <f t="shared" si="291"/>
        <v>-499.018841999999</v>
      </c>
      <c r="H789" s="414">
        <f t="shared" si="302"/>
        <v>-3.30672731393837</v>
      </c>
      <c r="I789" s="343">
        <f t="shared" si="305"/>
        <v>13624.4687</v>
      </c>
      <c r="J789" s="307">
        <f t="shared" si="297"/>
        <v>4041.776755</v>
      </c>
      <c r="K789" s="306">
        <f t="shared" si="303"/>
        <v>42.1778846507624</v>
      </c>
      <c r="M789">
        <f t="shared" si="289"/>
        <v>0</v>
      </c>
      <c r="N789" s="415"/>
      <c r="O789" s="415"/>
    </row>
    <row r="790" s="278" customFormat="1" ht="20" customHeight="1" spans="1:17">
      <c r="A790" s="438">
        <v>2130101</v>
      </c>
      <c r="B790" s="422" t="s">
        <v>731</v>
      </c>
      <c r="C790" s="307">
        <v>915.482118</v>
      </c>
      <c r="D790" s="343">
        <v>752.091627</v>
      </c>
      <c r="E790" s="307">
        <v>912</v>
      </c>
      <c r="F790" s="414">
        <f t="shared" si="301"/>
        <v>121.261820669092</v>
      </c>
      <c r="G790" s="346">
        <f t="shared" si="291"/>
        <v>-3.48211800000001</v>
      </c>
      <c r="H790" s="414">
        <f t="shared" si="302"/>
        <v>-0.380358931270792</v>
      </c>
      <c r="I790" s="343">
        <v>844.89</v>
      </c>
      <c r="J790" s="307">
        <f t="shared" si="297"/>
        <v>92.798373</v>
      </c>
      <c r="K790" s="306">
        <f t="shared" si="303"/>
        <v>12.3387057731464</v>
      </c>
      <c r="M790" s="278">
        <f t="shared" si="289"/>
        <v>916</v>
      </c>
      <c r="N790" s="415">
        <v>916</v>
      </c>
      <c r="O790" s="415"/>
    </row>
    <row r="791" s="278" customFormat="1" ht="20" customHeight="1" spans="1:17">
      <c r="A791" s="438">
        <v>2130102</v>
      </c>
      <c r="B791" s="422" t="s">
        <v>732</v>
      </c>
      <c r="C791" s="307">
        <v>111.85</v>
      </c>
      <c r="D791" s="425">
        <v>77</v>
      </c>
      <c r="E791" s="307">
        <v>296</v>
      </c>
      <c r="F791" s="414">
        <f t="shared" si="301"/>
        <v>384.415584415584</v>
      </c>
      <c r="G791" s="346">
        <f t="shared" si="291"/>
        <v>184.15</v>
      </c>
      <c r="H791" s="414">
        <f t="shared" si="302"/>
        <v>164.640143048726</v>
      </c>
      <c r="I791" s="425">
        <v>286.16</v>
      </c>
      <c r="J791" s="307">
        <f t="shared" si="297"/>
        <v>209.16</v>
      </c>
      <c r="K791" s="306">
        <f t="shared" si="303"/>
        <v>271.636363636364</v>
      </c>
      <c r="M791" s="278">
        <f t="shared" si="289"/>
        <v>3</v>
      </c>
      <c r="N791" s="415">
        <v>3</v>
      </c>
      <c r="O791" s="415"/>
    </row>
    <row r="792" s="278" customFormat="1" ht="20" customHeight="1" spans="1:17">
      <c r="A792" s="438">
        <v>2130103</v>
      </c>
      <c r="B792" s="422" t="s">
        <v>733</v>
      </c>
      <c r="C792" s="307">
        <v>0</v>
      </c>
      <c r="D792" s="343"/>
      <c r="E792" s="307">
        <v>0</v>
      </c>
      <c r="F792" s="414"/>
      <c r="G792" s="346">
        <f t="shared" si="291"/>
        <v>0</v>
      </c>
      <c r="H792" s="414"/>
      <c r="I792" s="343"/>
      <c r="J792" s="307">
        <f t="shared" si="297"/>
        <v>0</v>
      </c>
      <c r="K792" s="306"/>
      <c r="M792" s="278">
        <f t="shared" si="289"/>
        <v>0</v>
      </c>
      <c r="N792" s="415"/>
      <c r="O792" s="415"/>
    </row>
    <row r="793" s="278" customFormat="1" ht="20" customHeight="1" spans="1:17">
      <c r="A793" s="438">
        <v>2130104</v>
      </c>
      <c r="B793" s="422" t="s">
        <v>750</v>
      </c>
      <c r="C793" s="307">
        <v>2356.110724</v>
      </c>
      <c r="D793" s="343">
        <f>2498.34161</f>
        <v>2498.34161</v>
      </c>
      <c r="E793" s="307">
        <v>2519</v>
      </c>
      <c r="F793" s="414">
        <f t="shared" ref="F793:F796" si="306">E793/D793*100</f>
        <v>100.826884118541</v>
      </c>
      <c r="G793" s="346">
        <f t="shared" si="291"/>
        <v>162.889276</v>
      </c>
      <c r="H793" s="414">
        <f t="shared" ref="H793:H797" si="307">G793/C793*100</f>
        <v>6.91348137168446</v>
      </c>
      <c r="I793" s="343">
        <v>2698.16</v>
      </c>
      <c r="J793" s="307">
        <f t="shared" si="297"/>
        <v>199.81839</v>
      </c>
      <c r="K793" s="306">
        <f t="shared" ref="K793:K796" si="308">J793/D793*100</f>
        <v>7.99804114858416</v>
      </c>
      <c r="M793" s="278">
        <f t="shared" si="289"/>
        <v>2438</v>
      </c>
      <c r="N793" s="415">
        <v>2438</v>
      </c>
      <c r="O793" s="415"/>
    </row>
    <row r="794" s="278" customFormat="1" ht="20" customHeight="1" spans="1:17">
      <c r="A794" s="438">
        <v>2130105</v>
      </c>
      <c r="B794" s="422" t="s">
        <v>751</v>
      </c>
      <c r="C794" s="307">
        <v>0</v>
      </c>
      <c r="D794" s="343"/>
      <c r="E794" s="307">
        <v>0</v>
      </c>
      <c r="F794" s="414"/>
      <c r="G794" s="346">
        <f t="shared" si="291"/>
        <v>0</v>
      </c>
      <c r="H794" s="414"/>
      <c r="I794" s="343"/>
      <c r="J794" s="307">
        <f t="shared" si="297"/>
        <v>0</v>
      </c>
      <c r="K794" s="306"/>
      <c r="M794" s="278">
        <f t="shared" si="289"/>
        <v>0</v>
      </c>
      <c r="N794" s="415"/>
      <c r="O794" s="415"/>
    </row>
    <row r="795" s="278" customFormat="1" ht="20" customHeight="1" spans="1:17">
      <c r="A795" s="438">
        <v>2130106</v>
      </c>
      <c r="B795" s="422" t="s">
        <v>752</v>
      </c>
      <c r="C795" s="307">
        <v>0</v>
      </c>
      <c r="D795" s="343">
        <v>80</v>
      </c>
      <c r="E795" s="307">
        <v>5</v>
      </c>
      <c r="F795" s="414">
        <f t="shared" si="306"/>
        <v>6.25</v>
      </c>
      <c r="G795" s="346">
        <f t="shared" si="291"/>
        <v>5</v>
      </c>
      <c r="H795" s="414"/>
      <c r="I795" s="343"/>
      <c r="J795" s="307">
        <f t="shared" si="297"/>
        <v>-80</v>
      </c>
      <c r="K795" s="306">
        <f t="shared" si="308"/>
        <v>-100</v>
      </c>
      <c r="M795" s="278">
        <f t="shared" si="289"/>
        <v>0</v>
      </c>
      <c r="N795" s="415"/>
      <c r="O795" s="415"/>
    </row>
    <row r="796" s="278" customFormat="1" ht="20" customHeight="1" spans="1:17">
      <c r="A796" s="438">
        <v>2130108</v>
      </c>
      <c r="B796" s="422" t="s">
        <v>753</v>
      </c>
      <c r="C796" s="307">
        <v>36.476</v>
      </c>
      <c r="D796" s="343">
        <v>51</v>
      </c>
      <c r="E796" s="307">
        <v>351</v>
      </c>
      <c r="F796" s="414">
        <f t="shared" si="306"/>
        <v>688.235294117647</v>
      </c>
      <c r="G796" s="346">
        <f t="shared" si="291"/>
        <v>314.524</v>
      </c>
      <c r="H796" s="414">
        <f t="shared" si="307"/>
        <v>862.276565412874</v>
      </c>
      <c r="I796" s="420">
        <f>16.5+28.14+67.1</f>
        <v>111.74</v>
      </c>
      <c r="J796" s="307">
        <f t="shared" si="297"/>
        <v>60.74</v>
      </c>
      <c r="K796" s="306">
        <f t="shared" si="308"/>
        <v>119.098039215686</v>
      </c>
      <c r="M796" s="278">
        <f t="shared" si="289"/>
        <v>1</v>
      </c>
      <c r="N796" s="415">
        <v>1</v>
      </c>
      <c r="O796" s="415"/>
      <c r="P796" s="278">
        <v>121</v>
      </c>
      <c r="Q796" s="278">
        <v>60</v>
      </c>
    </row>
    <row r="797" s="278" customFormat="1" ht="20" customHeight="1" spans="1:17">
      <c r="A797" s="438">
        <v>2130109</v>
      </c>
      <c r="B797" s="422" t="s">
        <v>754</v>
      </c>
      <c r="C797" s="307">
        <v>282.98387</v>
      </c>
      <c r="D797" s="343"/>
      <c r="E797" s="307">
        <v>1</v>
      </c>
      <c r="F797" s="414"/>
      <c r="G797" s="346">
        <f t="shared" si="291"/>
        <v>-281.98387</v>
      </c>
      <c r="H797" s="414">
        <f t="shared" si="307"/>
        <v>-99.6466229682985</v>
      </c>
      <c r="I797" s="343"/>
      <c r="J797" s="307">
        <f t="shared" si="297"/>
        <v>0</v>
      </c>
      <c r="K797" s="306"/>
      <c r="M797" s="278">
        <f t="shared" ref="M797:M860" si="309">N797+O797</f>
        <v>0</v>
      </c>
      <c r="N797" s="415"/>
      <c r="O797" s="415"/>
      <c r="P797" s="278">
        <v>21</v>
      </c>
      <c r="Q797" s="278">
        <v>1</v>
      </c>
    </row>
    <row r="798" s="278" customFormat="1" ht="20" customHeight="1" spans="1:17">
      <c r="A798" s="438">
        <v>2130110</v>
      </c>
      <c r="B798" s="422" t="s">
        <v>755</v>
      </c>
      <c r="C798" s="307">
        <v>0</v>
      </c>
      <c r="D798" s="425">
        <v>1</v>
      </c>
      <c r="E798" s="307">
        <v>0</v>
      </c>
      <c r="F798" s="414">
        <f t="shared" ref="F798:F803" si="310">E798/D798*100</f>
        <v>0</v>
      </c>
      <c r="G798" s="346">
        <f t="shared" si="291"/>
        <v>0</v>
      </c>
      <c r="H798" s="414"/>
      <c r="I798" s="425"/>
      <c r="J798" s="307">
        <f t="shared" si="297"/>
        <v>-1</v>
      </c>
      <c r="K798" s="306">
        <f t="shared" ref="K798:K803" si="311">J798/D798*100</f>
        <v>-100</v>
      </c>
      <c r="M798" s="278">
        <f t="shared" si="309"/>
        <v>0</v>
      </c>
      <c r="N798" s="415"/>
      <c r="O798" s="415"/>
    </row>
    <row r="799" s="278" customFormat="1" ht="20" customHeight="1" spans="1:17">
      <c r="A799" s="438">
        <v>2130111</v>
      </c>
      <c r="B799" s="422" t="s">
        <v>756</v>
      </c>
      <c r="C799" s="307">
        <v>2.09979</v>
      </c>
      <c r="D799" s="343"/>
      <c r="E799" s="307"/>
      <c r="F799" s="414"/>
      <c r="G799" s="346">
        <f t="shared" si="291"/>
        <v>-2.09979</v>
      </c>
      <c r="H799" s="414">
        <f t="shared" ref="H799:H807" si="312">G799/C799*100</f>
        <v>-100</v>
      </c>
      <c r="I799" s="343"/>
      <c r="J799" s="307">
        <f t="shared" si="297"/>
        <v>0</v>
      </c>
      <c r="K799" s="306"/>
      <c r="M799" s="278">
        <f t="shared" si="309"/>
        <v>0</v>
      </c>
      <c r="N799" s="415"/>
      <c r="O799" s="415"/>
      <c r="Q799" s="278">
        <v>2</v>
      </c>
    </row>
    <row r="800" s="278" customFormat="1" ht="20" customHeight="1" spans="1:17">
      <c r="A800" s="438">
        <v>2130112</v>
      </c>
      <c r="B800" s="422" t="s">
        <v>757</v>
      </c>
      <c r="C800" s="307">
        <v>0</v>
      </c>
      <c r="D800" s="343"/>
      <c r="E800" s="307">
        <v>0</v>
      </c>
      <c r="F800" s="414"/>
      <c r="G800" s="346">
        <f t="shared" si="291"/>
        <v>0</v>
      </c>
      <c r="H800" s="414"/>
      <c r="I800" s="343"/>
      <c r="J800" s="307">
        <f t="shared" si="297"/>
        <v>0</v>
      </c>
      <c r="K800" s="306"/>
      <c r="M800" s="278">
        <f t="shared" si="309"/>
        <v>0</v>
      </c>
      <c r="N800" s="415"/>
      <c r="O800" s="415"/>
    </row>
    <row r="801" s="278" customFormat="1" ht="20" customHeight="1" spans="1:17">
      <c r="A801" s="438">
        <v>2130114</v>
      </c>
      <c r="B801" s="422" t="s">
        <v>758</v>
      </c>
      <c r="C801" s="307">
        <v>0</v>
      </c>
      <c r="D801" s="343"/>
      <c r="E801" s="307">
        <v>0</v>
      </c>
      <c r="F801" s="414"/>
      <c r="G801" s="346">
        <f t="shared" si="291"/>
        <v>0</v>
      </c>
      <c r="H801" s="414"/>
      <c r="I801" s="343"/>
      <c r="J801" s="307">
        <f t="shared" si="297"/>
        <v>0</v>
      </c>
      <c r="K801" s="306"/>
      <c r="M801" s="278">
        <f t="shared" si="309"/>
        <v>0</v>
      </c>
      <c r="N801" s="415"/>
      <c r="O801" s="415"/>
      <c r="P801" s="278">
        <v>3</v>
      </c>
    </row>
    <row r="802" s="278" customFormat="1" ht="20" customHeight="1" spans="1:17">
      <c r="A802" s="438">
        <v>2130119</v>
      </c>
      <c r="B802" s="422" t="s">
        <v>759</v>
      </c>
      <c r="C802" s="307">
        <v>0</v>
      </c>
      <c r="D802" s="343">
        <v>81</v>
      </c>
      <c r="E802" s="307">
        <v>95</v>
      </c>
      <c r="F802" s="414">
        <f t="shared" si="310"/>
        <v>117.283950617284</v>
      </c>
      <c r="G802" s="346">
        <f t="shared" si="291"/>
        <v>95</v>
      </c>
      <c r="H802" s="414"/>
      <c r="I802" s="343">
        <v>22.83</v>
      </c>
      <c r="J802" s="307">
        <f t="shared" si="297"/>
        <v>-58.17</v>
      </c>
      <c r="K802" s="306">
        <f t="shared" si="311"/>
        <v>-71.8148148148148</v>
      </c>
      <c r="M802" s="278">
        <f t="shared" si="309"/>
        <v>0</v>
      </c>
      <c r="N802" s="415"/>
      <c r="O802" s="415"/>
      <c r="Q802" s="278">
        <v>35</v>
      </c>
    </row>
    <row r="803" s="278" customFormat="1" ht="20" customHeight="1" spans="1:17">
      <c r="A803" s="438">
        <v>2130120</v>
      </c>
      <c r="B803" s="422" t="s">
        <v>760</v>
      </c>
      <c r="C803" s="307">
        <v>2825.380505</v>
      </c>
      <c r="D803" s="343">
        <v>1643</v>
      </c>
      <c r="E803" s="307">
        <v>2861</v>
      </c>
      <c r="F803" s="414">
        <f t="shared" si="310"/>
        <v>174.132684114425</v>
      </c>
      <c r="G803" s="346">
        <f t="shared" si="291"/>
        <v>35.6194949999999</v>
      </c>
      <c r="H803" s="414">
        <f t="shared" si="312"/>
        <v>1.26069727376419</v>
      </c>
      <c r="I803" s="343">
        <f>12.84+2913</f>
        <v>2925.84</v>
      </c>
      <c r="J803" s="307">
        <f t="shared" si="297"/>
        <v>1282.84</v>
      </c>
      <c r="K803" s="306">
        <f t="shared" si="311"/>
        <v>78.0791235544735</v>
      </c>
      <c r="M803" s="278">
        <f t="shared" si="309"/>
        <v>0</v>
      </c>
      <c r="N803" s="415"/>
      <c r="O803" s="415"/>
    </row>
    <row r="804" s="278" customFormat="1" ht="20" customHeight="1" spans="1:17">
      <c r="A804" s="438">
        <v>2130121</v>
      </c>
      <c r="B804" s="422" t="s">
        <v>761</v>
      </c>
      <c r="C804" s="307">
        <v>24</v>
      </c>
      <c r="D804" s="343"/>
      <c r="E804" s="307"/>
      <c r="F804" s="414"/>
      <c r="G804" s="346">
        <f t="shared" si="291"/>
        <v>-24</v>
      </c>
      <c r="H804" s="414">
        <f t="shared" si="312"/>
        <v>-100</v>
      </c>
      <c r="I804" s="343"/>
      <c r="J804" s="307">
        <f t="shared" si="297"/>
        <v>0</v>
      </c>
      <c r="K804" s="306"/>
      <c r="M804" s="278">
        <f t="shared" si="309"/>
        <v>0</v>
      </c>
      <c r="N804" s="415"/>
      <c r="O804" s="415"/>
    </row>
    <row r="805" s="278" customFormat="1" ht="20" customHeight="1" spans="1:17">
      <c r="A805" s="438">
        <v>2130122</v>
      </c>
      <c r="B805" s="422" t="s">
        <v>762</v>
      </c>
      <c r="C805" s="307">
        <v>3089.76054</v>
      </c>
      <c r="D805" s="343">
        <v>30</v>
      </c>
      <c r="E805" s="307">
        <v>3434</v>
      </c>
      <c r="F805" s="414">
        <f>E805/D805*100</f>
        <v>11446.6666666667</v>
      </c>
      <c r="G805" s="346">
        <f t="shared" si="291"/>
        <v>344.23946</v>
      </c>
      <c r="H805" s="414">
        <f t="shared" si="312"/>
        <v>11.1412989952937</v>
      </c>
      <c r="I805" s="343">
        <f>160+91.33+884.6687+380.18+716.74</f>
        <v>2232.9187</v>
      </c>
      <c r="J805" s="307">
        <f t="shared" si="297"/>
        <v>2202.9187</v>
      </c>
      <c r="K805" s="306">
        <f>J805/D805*100</f>
        <v>7343.06233333333</v>
      </c>
      <c r="M805" s="278">
        <f t="shared" si="309"/>
        <v>0</v>
      </c>
      <c r="N805" s="415"/>
      <c r="O805" s="415"/>
      <c r="P805" s="278">
        <v>72</v>
      </c>
      <c r="Q805" s="278">
        <v>1208</v>
      </c>
    </row>
    <row r="806" s="278" customFormat="1" ht="20" customHeight="1" spans="1:17">
      <c r="A806" s="438">
        <v>2130124</v>
      </c>
      <c r="B806" s="422" t="s">
        <v>763</v>
      </c>
      <c r="C806" s="307">
        <v>218.6</v>
      </c>
      <c r="D806" s="343"/>
      <c r="E806" s="307">
        <v>5</v>
      </c>
      <c r="F806" s="414"/>
      <c r="G806" s="346">
        <f t="shared" si="291"/>
        <v>-213.6</v>
      </c>
      <c r="H806" s="414">
        <f t="shared" si="312"/>
        <v>-97.7127172918573</v>
      </c>
      <c r="I806" s="343"/>
      <c r="J806" s="307">
        <f t="shared" si="297"/>
        <v>0</v>
      </c>
      <c r="K806" s="306"/>
      <c r="M806" s="278">
        <f t="shared" si="309"/>
        <v>0</v>
      </c>
      <c r="N806" s="415"/>
      <c r="O806" s="415"/>
      <c r="P806" s="278">
        <v>300</v>
      </c>
    </row>
    <row r="807" s="278" customFormat="1" ht="20" customHeight="1" spans="1:17">
      <c r="A807" s="438">
        <v>2130125</v>
      </c>
      <c r="B807" s="422" t="s">
        <v>764</v>
      </c>
      <c r="C807" s="307">
        <v>850.06</v>
      </c>
      <c r="D807" s="343"/>
      <c r="E807" s="307"/>
      <c r="F807" s="414"/>
      <c r="G807" s="346">
        <f t="shared" si="291"/>
        <v>-850.06</v>
      </c>
      <c r="H807" s="414">
        <f t="shared" si="312"/>
        <v>-100</v>
      </c>
      <c r="I807" s="343"/>
      <c r="J807" s="307">
        <f t="shared" si="297"/>
        <v>0</v>
      </c>
      <c r="K807" s="306"/>
      <c r="M807" s="278">
        <f t="shared" si="309"/>
        <v>0</v>
      </c>
      <c r="N807" s="415"/>
      <c r="O807" s="415"/>
    </row>
    <row r="808" s="278" customFormat="1" ht="20" customHeight="1" spans="1:17">
      <c r="A808" s="438">
        <v>2130126</v>
      </c>
      <c r="B808" s="422" t="s">
        <v>765</v>
      </c>
      <c r="C808" s="307">
        <v>0</v>
      </c>
      <c r="D808" s="343"/>
      <c r="E808" s="307">
        <v>0</v>
      </c>
      <c r="F808" s="414"/>
      <c r="G808" s="346">
        <f t="shared" si="291"/>
        <v>0</v>
      </c>
      <c r="H808" s="414"/>
      <c r="I808" s="343"/>
      <c r="J808" s="307">
        <f t="shared" si="297"/>
        <v>0</v>
      </c>
      <c r="K808" s="306"/>
      <c r="M808" s="278">
        <f t="shared" si="309"/>
        <v>0</v>
      </c>
      <c r="N808" s="415"/>
      <c r="O808" s="415"/>
    </row>
    <row r="809" s="278" customFormat="1" ht="20" customHeight="1" spans="1:17">
      <c r="A809" s="438">
        <v>2130135</v>
      </c>
      <c r="B809" s="422" t="s">
        <v>766</v>
      </c>
      <c r="C809" s="307">
        <v>0</v>
      </c>
      <c r="D809" s="425">
        <v>8</v>
      </c>
      <c r="E809" s="307">
        <v>0</v>
      </c>
      <c r="F809" s="414">
        <f>E809/D809*100</f>
        <v>0</v>
      </c>
      <c r="G809" s="346">
        <f t="shared" si="291"/>
        <v>0</v>
      </c>
      <c r="H809" s="414"/>
      <c r="I809" s="425"/>
      <c r="J809" s="307">
        <f t="shared" si="297"/>
        <v>-8</v>
      </c>
      <c r="K809" s="306">
        <f>J809/D809*100</f>
        <v>-100</v>
      </c>
      <c r="M809" s="278">
        <f t="shared" si="309"/>
        <v>0</v>
      </c>
      <c r="N809" s="415"/>
      <c r="O809" s="415"/>
    </row>
    <row r="810" s="278" customFormat="1" ht="20" customHeight="1" spans="1:17">
      <c r="A810" s="438">
        <v>2130142</v>
      </c>
      <c r="B810" s="422" t="s">
        <v>767</v>
      </c>
      <c r="C810" s="307">
        <v>0</v>
      </c>
      <c r="D810" s="343"/>
      <c r="E810" s="307">
        <v>3</v>
      </c>
      <c r="F810" s="414"/>
      <c r="G810" s="346">
        <f t="shared" si="291"/>
        <v>3</v>
      </c>
      <c r="H810" s="414"/>
      <c r="I810" s="343"/>
      <c r="J810" s="307">
        <f t="shared" si="297"/>
        <v>0</v>
      </c>
      <c r="K810" s="306"/>
      <c r="M810" s="278">
        <f t="shared" si="309"/>
        <v>0</v>
      </c>
      <c r="N810" s="415"/>
      <c r="O810" s="415"/>
    </row>
    <row r="811" s="278" customFormat="1" ht="20" customHeight="1" spans="1:17">
      <c r="A811" s="438">
        <v>2130148</v>
      </c>
      <c r="B811" s="422" t="s">
        <v>768</v>
      </c>
      <c r="C811" s="307">
        <v>0</v>
      </c>
      <c r="D811" s="343"/>
      <c r="E811" s="307">
        <v>0</v>
      </c>
      <c r="F811" s="414"/>
      <c r="G811" s="346">
        <f t="shared" si="291"/>
        <v>0</v>
      </c>
      <c r="H811" s="414"/>
      <c r="I811" s="343"/>
      <c r="J811" s="307">
        <f t="shared" si="297"/>
        <v>0</v>
      </c>
      <c r="K811" s="306"/>
      <c r="M811" s="278">
        <f t="shared" si="309"/>
        <v>0</v>
      </c>
      <c r="N811" s="415"/>
      <c r="O811" s="415"/>
    </row>
    <row r="812" s="278" customFormat="1" ht="20" customHeight="1" spans="1:17">
      <c r="A812" s="438">
        <v>2130152</v>
      </c>
      <c r="B812" s="422" t="s">
        <v>769</v>
      </c>
      <c r="C812" s="307">
        <v>0</v>
      </c>
      <c r="D812" s="343"/>
      <c r="E812" s="307">
        <v>0</v>
      </c>
      <c r="F812" s="414"/>
      <c r="G812" s="346">
        <f t="shared" si="291"/>
        <v>0</v>
      </c>
      <c r="H812" s="414"/>
      <c r="I812" s="343"/>
      <c r="J812" s="307">
        <f t="shared" si="297"/>
        <v>0</v>
      </c>
      <c r="K812" s="306"/>
      <c r="M812" s="278">
        <f t="shared" si="309"/>
        <v>0</v>
      </c>
      <c r="N812" s="415"/>
      <c r="O812" s="415"/>
    </row>
    <row r="813" s="278" customFormat="1" ht="20" customHeight="1" spans="1:17">
      <c r="A813" s="438">
        <v>2130153</v>
      </c>
      <c r="B813" s="422" t="s">
        <v>770</v>
      </c>
      <c r="C813" s="307">
        <v>2105.431176</v>
      </c>
      <c r="D813" s="343">
        <f>3499+862.258708</f>
        <v>4361.258708</v>
      </c>
      <c r="E813" s="307">
        <v>3485</v>
      </c>
      <c r="F813" s="414">
        <f t="shared" ref="F813:F817" si="313">E813/D813*100</f>
        <v>79.9081236251211</v>
      </c>
      <c r="G813" s="346">
        <f t="shared" si="291"/>
        <v>1379.568824</v>
      </c>
      <c r="H813" s="414">
        <f t="shared" ref="H813:H817" si="314">G813/C813*100</f>
        <v>65.52428973817</v>
      </c>
      <c r="I813" s="343">
        <f>1685.14+627+2100</f>
        <v>4412.14</v>
      </c>
      <c r="J813" s="307">
        <f t="shared" si="297"/>
        <v>50.881292</v>
      </c>
      <c r="K813" s="306">
        <f t="shared" ref="K813:K817" si="315">J813/D813*100</f>
        <v>1.16666530024157</v>
      </c>
      <c r="M813" s="278">
        <f t="shared" si="309"/>
        <v>0</v>
      </c>
      <c r="N813" s="415"/>
      <c r="O813" s="415"/>
      <c r="P813" s="278">
        <v>120</v>
      </c>
      <c r="Q813" s="278">
        <v>1111</v>
      </c>
    </row>
    <row r="814" s="278" customFormat="1" ht="20" customHeight="1" spans="1:17">
      <c r="A814" s="438">
        <v>2130199</v>
      </c>
      <c r="B814" s="422" t="s">
        <v>771</v>
      </c>
      <c r="C814" s="307">
        <v>2272.784119</v>
      </c>
      <c r="D814" s="343"/>
      <c r="E814" s="307">
        <v>625</v>
      </c>
      <c r="F814" s="414"/>
      <c r="G814" s="346">
        <f t="shared" si="291"/>
        <v>-1647.784119</v>
      </c>
      <c r="H814" s="414">
        <f t="shared" si="314"/>
        <v>-72.5006878226959</v>
      </c>
      <c r="I814" s="343">
        <v>89.79</v>
      </c>
      <c r="J814" s="307">
        <f t="shared" si="297"/>
        <v>89.79</v>
      </c>
      <c r="K814" s="306"/>
      <c r="M814" s="278">
        <f t="shared" si="309"/>
        <v>1</v>
      </c>
      <c r="N814" s="415">
        <v>1</v>
      </c>
      <c r="O814" s="415"/>
      <c r="P814" s="278">
        <v>5248</v>
      </c>
      <c r="Q814" s="278">
        <v>1528</v>
      </c>
    </row>
    <row r="815" customFormat="1" ht="20" customHeight="1" spans="1:17">
      <c r="A815" s="437">
        <v>21302</v>
      </c>
      <c r="B815" s="427" t="s">
        <v>772</v>
      </c>
      <c r="C815" s="343">
        <f>SUM(C816:C836)</f>
        <v>3057.038856</v>
      </c>
      <c r="D815" s="343">
        <f t="shared" ref="D815:I815" si="316">SUM(D816:D836)</f>
        <v>3854.959974</v>
      </c>
      <c r="E815" s="343">
        <f t="shared" si="316"/>
        <v>3152</v>
      </c>
      <c r="F815" s="414">
        <f t="shared" si="313"/>
        <v>81.7647918852296</v>
      </c>
      <c r="G815" s="346">
        <f t="shared" si="291"/>
        <v>94.9611440000003</v>
      </c>
      <c r="H815" s="414">
        <f t="shared" si="314"/>
        <v>3.10631131866779</v>
      </c>
      <c r="I815" s="343">
        <f t="shared" si="316"/>
        <v>2550.427942</v>
      </c>
      <c r="J815" s="307">
        <f t="shared" si="297"/>
        <v>-1304.532032</v>
      </c>
      <c r="K815" s="306">
        <f t="shared" si="315"/>
        <v>-33.8403521903857</v>
      </c>
      <c r="M815">
        <f t="shared" si="309"/>
        <v>0</v>
      </c>
      <c r="N815" s="415"/>
      <c r="O815" s="415"/>
    </row>
    <row r="816" s="278" customFormat="1" ht="20" customHeight="1" spans="1:17">
      <c r="A816" s="438">
        <v>2130201</v>
      </c>
      <c r="B816" s="422" t="s">
        <v>731</v>
      </c>
      <c r="C816" s="307">
        <v>258.374124</v>
      </c>
      <c r="D816" s="343">
        <v>238.986607</v>
      </c>
      <c r="E816" s="307">
        <v>224</v>
      </c>
      <c r="F816" s="414">
        <f t="shared" si="313"/>
        <v>93.7291017316297</v>
      </c>
      <c r="G816" s="346">
        <f t="shared" si="291"/>
        <v>-34.374124</v>
      </c>
      <c r="H816" s="414">
        <f t="shared" si="314"/>
        <v>-13.3040118212457</v>
      </c>
      <c r="I816" s="343">
        <v>214.45</v>
      </c>
      <c r="J816" s="307">
        <f t="shared" si="297"/>
        <v>-24.536607</v>
      </c>
      <c r="K816" s="306">
        <f t="shared" si="315"/>
        <v>-10.2669380966608</v>
      </c>
      <c r="M816" s="278">
        <f t="shared" si="309"/>
        <v>240</v>
      </c>
      <c r="N816" s="415">
        <v>240</v>
      </c>
      <c r="O816" s="415"/>
    </row>
    <row r="817" s="278" customFormat="1" ht="20" customHeight="1" spans="1:17">
      <c r="A817" s="438">
        <v>2130202</v>
      </c>
      <c r="B817" s="422" t="s">
        <v>732</v>
      </c>
      <c r="C817" s="307">
        <v>75.221026</v>
      </c>
      <c r="D817" s="425">
        <v>21.427398</v>
      </c>
      <c r="E817" s="307">
        <v>293</v>
      </c>
      <c r="F817" s="414">
        <f t="shared" si="313"/>
        <v>1367.40821260706</v>
      </c>
      <c r="G817" s="346">
        <f t="shared" si="291"/>
        <v>217.778974</v>
      </c>
      <c r="H817" s="414">
        <f t="shared" si="314"/>
        <v>289.518749717665</v>
      </c>
      <c r="I817" s="420">
        <v>75.937942</v>
      </c>
      <c r="J817" s="307">
        <f t="shared" si="297"/>
        <v>54.510544</v>
      </c>
      <c r="K817" s="306">
        <f t="shared" si="315"/>
        <v>254.396469417332</v>
      </c>
      <c r="M817" s="278">
        <f t="shared" si="309"/>
        <v>39</v>
      </c>
      <c r="N817" s="415">
        <v>39</v>
      </c>
      <c r="O817" s="415"/>
    </row>
    <row r="818" s="278" customFormat="1" ht="20" customHeight="1" spans="1:17">
      <c r="A818" s="438">
        <v>2130203</v>
      </c>
      <c r="B818" s="422" t="s">
        <v>733</v>
      </c>
      <c r="C818" s="307">
        <v>0</v>
      </c>
      <c r="D818" s="343"/>
      <c r="E818" s="307">
        <v>0</v>
      </c>
      <c r="F818" s="414"/>
      <c r="G818" s="346">
        <f t="shared" si="291"/>
        <v>0</v>
      </c>
      <c r="H818" s="414"/>
      <c r="I818" s="343"/>
      <c r="J818" s="307">
        <f t="shared" si="297"/>
        <v>0</v>
      </c>
      <c r="K818" s="306"/>
      <c r="M818" s="278">
        <f t="shared" si="309"/>
        <v>0</v>
      </c>
      <c r="N818" s="415"/>
      <c r="O818" s="415"/>
    </row>
    <row r="819" s="278" customFormat="1" ht="20" customHeight="1" spans="1:17">
      <c r="A819" s="438">
        <v>2130204</v>
      </c>
      <c r="B819" s="422" t="s">
        <v>773</v>
      </c>
      <c r="C819" s="307">
        <v>734.4467</v>
      </c>
      <c r="D819" s="343">
        <v>485.096941</v>
      </c>
      <c r="E819" s="307">
        <v>641</v>
      </c>
      <c r="F819" s="414">
        <f t="shared" ref="F819:F821" si="317">E819/D819*100</f>
        <v>132.138536820829</v>
      </c>
      <c r="G819" s="346">
        <f t="shared" si="291"/>
        <v>-93.4467</v>
      </c>
      <c r="H819" s="414">
        <f t="shared" ref="H819:H823" si="318">G819/C819*100</f>
        <v>-12.7234147828563</v>
      </c>
      <c r="I819" s="343">
        <v>611.87</v>
      </c>
      <c r="J819" s="307">
        <f t="shared" si="297"/>
        <v>126.773059</v>
      </c>
      <c r="K819" s="306">
        <f t="shared" ref="K819:K821" si="319">J819/D819*100</f>
        <v>26.1335515203754</v>
      </c>
      <c r="M819" s="278">
        <f t="shared" si="309"/>
        <v>817</v>
      </c>
      <c r="N819" s="415">
        <v>817</v>
      </c>
      <c r="O819" s="415"/>
    </row>
    <row r="820" s="278" customFormat="1" ht="20" customHeight="1" spans="1:17">
      <c r="A820" s="438">
        <v>2130205</v>
      </c>
      <c r="B820" s="422" t="s">
        <v>774</v>
      </c>
      <c r="C820" s="307">
        <v>1555.273672</v>
      </c>
      <c r="D820" s="343">
        <f>762.82+634.939028</f>
        <v>1397.759028</v>
      </c>
      <c r="E820" s="307">
        <v>1424</v>
      </c>
      <c r="F820" s="414">
        <f t="shared" si="317"/>
        <v>101.877360222638</v>
      </c>
      <c r="G820" s="346">
        <f t="shared" si="291"/>
        <v>-131.273672</v>
      </c>
      <c r="H820" s="414">
        <f t="shared" si="318"/>
        <v>-8.44055129096277</v>
      </c>
      <c r="I820" s="343"/>
      <c r="J820" s="307">
        <f t="shared" si="297"/>
        <v>-1397.759028</v>
      </c>
      <c r="K820" s="306">
        <f t="shared" si="319"/>
        <v>-100</v>
      </c>
      <c r="M820" s="278">
        <f t="shared" si="309"/>
        <v>0</v>
      </c>
      <c r="N820" s="415"/>
      <c r="O820" s="415"/>
      <c r="P820" s="278">
        <v>783</v>
      </c>
      <c r="Q820" s="278">
        <v>77</v>
      </c>
    </row>
    <row r="821" s="278" customFormat="1" ht="20" customHeight="1" spans="1:17">
      <c r="A821" s="438">
        <v>2130206</v>
      </c>
      <c r="B821" s="422" t="s">
        <v>775</v>
      </c>
      <c r="C821" s="307">
        <v>0</v>
      </c>
      <c r="D821" s="343">
        <v>3.91</v>
      </c>
      <c r="E821" s="307">
        <v>0</v>
      </c>
      <c r="F821" s="414">
        <f t="shared" si="317"/>
        <v>0</v>
      </c>
      <c r="G821" s="346">
        <f t="shared" si="291"/>
        <v>0</v>
      </c>
      <c r="H821" s="414"/>
      <c r="I821" s="343"/>
      <c r="J821" s="307">
        <f t="shared" si="297"/>
        <v>-3.91</v>
      </c>
      <c r="K821" s="306">
        <f t="shared" si="319"/>
        <v>-100</v>
      </c>
      <c r="M821" s="278">
        <f t="shared" si="309"/>
        <v>0</v>
      </c>
      <c r="N821" s="415"/>
      <c r="O821" s="415"/>
    </row>
    <row r="822" s="278" customFormat="1" ht="20" customHeight="1" spans="1:17">
      <c r="A822" s="438">
        <v>2130207</v>
      </c>
      <c r="B822" s="422" t="s">
        <v>776</v>
      </c>
      <c r="C822" s="307">
        <v>0</v>
      </c>
      <c r="D822" s="343"/>
      <c r="E822" s="307">
        <v>0</v>
      </c>
      <c r="F822" s="414"/>
      <c r="G822" s="346">
        <f t="shared" si="291"/>
        <v>0</v>
      </c>
      <c r="H822" s="414"/>
      <c r="I822" s="343"/>
      <c r="J822" s="307">
        <f t="shared" si="297"/>
        <v>0</v>
      </c>
      <c r="K822" s="306"/>
      <c r="M822" s="278">
        <f t="shared" si="309"/>
        <v>0</v>
      </c>
      <c r="N822" s="415"/>
      <c r="O822" s="415"/>
    </row>
    <row r="823" s="278" customFormat="1" ht="20" customHeight="1" spans="1:17">
      <c r="A823" s="438">
        <v>2130209</v>
      </c>
      <c r="B823" s="422" t="s">
        <v>777</v>
      </c>
      <c r="C823" s="307">
        <v>127.58596</v>
      </c>
      <c r="D823" s="343">
        <v>223.98</v>
      </c>
      <c r="E823" s="307">
        <v>215</v>
      </c>
      <c r="F823" s="414">
        <f>E823/D823*100</f>
        <v>95.9907134565586</v>
      </c>
      <c r="G823" s="346">
        <f t="shared" si="291"/>
        <v>87.41404</v>
      </c>
      <c r="H823" s="414">
        <f t="shared" si="318"/>
        <v>68.5138396105653</v>
      </c>
      <c r="I823" s="343">
        <f>19.11+212.41</f>
        <v>231.52</v>
      </c>
      <c r="J823" s="307">
        <f t="shared" si="297"/>
        <v>7.53999999999999</v>
      </c>
      <c r="K823" s="306">
        <f>J823/D823*100</f>
        <v>3.36637199749977</v>
      </c>
      <c r="M823" s="278">
        <f t="shared" si="309"/>
        <v>0</v>
      </c>
      <c r="N823" s="415"/>
      <c r="O823" s="415"/>
      <c r="P823" s="278">
        <v>224</v>
      </c>
      <c r="Q823" s="278">
        <v>982</v>
      </c>
    </row>
    <row r="824" s="278" customFormat="1" ht="20" customHeight="1" spans="1:17">
      <c r="A824" s="438">
        <v>2130211</v>
      </c>
      <c r="B824" s="422" t="s">
        <v>778</v>
      </c>
      <c r="C824" s="307">
        <v>0</v>
      </c>
      <c r="D824" s="343"/>
      <c r="E824" s="307">
        <v>0</v>
      </c>
      <c r="F824" s="414"/>
      <c r="G824" s="346">
        <f t="shared" si="291"/>
        <v>0</v>
      </c>
      <c r="H824" s="414"/>
      <c r="I824" s="343"/>
      <c r="J824" s="307">
        <f t="shared" si="297"/>
        <v>0</v>
      </c>
      <c r="K824" s="306"/>
      <c r="M824" s="278">
        <f t="shared" si="309"/>
        <v>0</v>
      </c>
      <c r="N824" s="415"/>
      <c r="O824" s="415"/>
    </row>
    <row r="825" s="278" customFormat="1" ht="20" customHeight="1" spans="1:17">
      <c r="A825" s="438">
        <v>2130212</v>
      </c>
      <c r="B825" s="422" t="s">
        <v>779</v>
      </c>
      <c r="C825" s="307">
        <v>0</v>
      </c>
      <c r="D825" s="343"/>
      <c r="E825" s="307">
        <v>0</v>
      </c>
      <c r="F825" s="414"/>
      <c r="G825" s="346">
        <f t="shared" si="291"/>
        <v>0</v>
      </c>
      <c r="H825" s="414"/>
      <c r="I825" s="343"/>
      <c r="J825" s="307">
        <f t="shared" si="297"/>
        <v>0</v>
      </c>
      <c r="K825" s="306"/>
      <c r="M825" s="278">
        <f t="shared" si="309"/>
        <v>0</v>
      </c>
      <c r="N825" s="415"/>
      <c r="O825" s="415"/>
    </row>
    <row r="826" s="278" customFormat="1" ht="20" customHeight="1" spans="1:17">
      <c r="A826" s="438">
        <v>2130213</v>
      </c>
      <c r="B826" s="422" t="s">
        <v>780</v>
      </c>
      <c r="C826" s="307">
        <v>0</v>
      </c>
      <c r="D826" s="343"/>
      <c r="E826" s="307">
        <v>0</v>
      </c>
      <c r="F826" s="414"/>
      <c r="G826" s="346">
        <f t="shared" si="291"/>
        <v>0</v>
      </c>
      <c r="H826" s="414"/>
      <c r="I826" s="343"/>
      <c r="J826" s="307">
        <f t="shared" si="297"/>
        <v>0</v>
      </c>
      <c r="K826" s="306"/>
      <c r="M826" s="278">
        <f t="shared" si="309"/>
        <v>0</v>
      </c>
      <c r="N826" s="415"/>
      <c r="O826" s="415"/>
    </row>
    <row r="827" s="278" customFormat="1" ht="20" customHeight="1" spans="1:17">
      <c r="A827" s="438">
        <v>2130217</v>
      </c>
      <c r="B827" s="422" t="s">
        <v>781</v>
      </c>
      <c r="C827" s="307">
        <v>0</v>
      </c>
      <c r="D827" s="343"/>
      <c r="E827" s="307">
        <v>0</v>
      </c>
      <c r="F827" s="414"/>
      <c r="G827" s="346">
        <f t="shared" si="291"/>
        <v>0</v>
      </c>
      <c r="H827" s="414"/>
      <c r="I827" s="343"/>
      <c r="J827" s="307">
        <f t="shared" si="297"/>
        <v>0</v>
      </c>
      <c r="K827" s="306"/>
      <c r="M827" s="278">
        <f t="shared" si="309"/>
        <v>0</v>
      </c>
      <c r="N827" s="415"/>
      <c r="O827" s="415"/>
    </row>
    <row r="828" s="278" customFormat="1" ht="20" customHeight="1" spans="1:17">
      <c r="A828" s="438">
        <v>2130220</v>
      </c>
      <c r="B828" s="422" t="s">
        <v>782</v>
      </c>
      <c r="C828" s="307">
        <v>0</v>
      </c>
      <c r="D828" s="343"/>
      <c r="E828" s="307">
        <v>0</v>
      </c>
      <c r="F828" s="414"/>
      <c r="G828" s="346">
        <f t="shared" si="291"/>
        <v>0</v>
      </c>
      <c r="H828" s="414"/>
      <c r="I828" s="343"/>
      <c r="J828" s="307">
        <f t="shared" si="297"/>
        <v>0</v>
      </c>
      <c r="K828" s="306"/>
      <c r="M828" s="278">
        <f t="shared" si="309"/>
        <v>0</v>
      </c>
      <c r="N828" s="415"/>
      <c r="O828" s="415"/>
    </row>
    <row r="829" s="278" customFormat="1" ht="20" customHeight="1" spans="1:17">
      <c r="A829" s="438">
        <v>2130221</v>
      </c>
      <c r="B829" s="422" t="s">
        <v>783</v>
      </c>
      <c r="C829" s="307">
        <v>0</v>
      </c>
      <c r="D829" s="343"/>
      <c r="E829" s="307">
        <v>0</v>
      </c>
      <c r="F829" s="414"/>
      <c r="G829" s="346">
        <f t="shared" si="291"/>
        <v>0</v>
      </c>
      <c r="H829" s="414"/>
      <c r="I829" s="343"/>
      <c r="J829" s="307">
        <f t="shared" si="297"/>
        <v>0</v>
      </c>
      <c r="K829" s="306"/>
      <c r="M829" s="278">
        <f t="shared" si="309"/>
        <v>0</v>
      </c>
      <c r="N829" s="415"/>
      <c r="O829" s="415"/>
    </row>
    <row r="830" s="278" customFormat="1" ht="20" customHeight="1" spans="1:17">
      <c r="A830" s="438">
        <v>2130223</v>
      </c>
      <c r="B830" s="422" t="s">
        <v>784</v>
      </c>
      <c r="C830" s="307">
        <v>0</v>
      </c>
      <c r="D830" s="343"/>
      <c r="E830" s="307">
        <v>0</v>
      </c>
      <c r="F830" s="414"/>
      <c r="G830" s="346">
        <f t="shared" ref="G830:G893" si="320">E830-C830</f>
        <v>0</v>
      </c>
      <c r="H830" s="414"/>
      <c r="I830" s="343"/>
      <c r="J830" s="307">
        <f t="shared" si="297"/>
        <v>0</v>
      </c>
      <c r="K830" s="306"/>
      <c r="M830" s="278">
        <f t="shared" si="309"/>
        <v>0</v>
      </c>
      <c r="N830" s="415"/>
      <c r="O830" s="415"/>
    </row>
    <row r="831" s="278" customFormat="1" ht="20" customHeight="1" spans="1:17">
      <c r="A831" s="438">
        <v>2130226</v>
      </c>
      <c r="B831" s="422" t="s">
        <v>785</v>
      </c>
      <c r="C831" s="307">
        <v>0</v>
      </c>
      <c r="D831" s="343"/>
      <c r="E831" s="307">
        <v>0</v>
      </c>
      <c r="F831" s="414"/>
      <c r="G831" s="346">
        <f t="shared" si="320"/>
        <v>0</v>
      </c>
      <c r="H831" s="414"/>
      <c r="I831" s="343"/>
      <c r="J831" s="307">
        <f t="shared" si="297"/>
        <v>0</v>
      </c>
      <c r="K831" s="306"/>
      <c r="M831" s="278">
        <f t="shared" si="309"/>
        <v>0</v>
      </c>
      <c r="N831" s="415"/>
      <c r="O831" s="415"/>
    </row>
    <row r="832" s="278" customFormat="1" ht="20" customHeight="1" spans="1:17">
      <c r="A832" s="438">
        <v>2130227</v>
      </c>
      <c r="B832" s="422" t="s">
        <v>786</v>
      </c>
      <c r="C832" s="307">
        <v>0</v>
      </c>
      <c r="D832" s="343"/>
      <c r="E832" s="307">
        <v>0</v>
      </c>
      <c r="F832" s="414"/>
      <c r="G832" s="346">
        <f t="shared" si="320"/>
        <v>0</v>
      </c>
      <c r="H832" s="414"/>
      <c r="I832" s="343"/>
      <c r="J832" s="307">
        <f t="shared" si="297"/>
        <v>0</v>
      </c>
      <c r="K832" s="306"/>
      <c r="M832" s="278">
        <f t="shared" si="309"/>
        <v>0</v>
      </c>
      <c r="N832" s="415"/>
      <c r="O832" s="415"/>
    </row>
    <row r="833" s="278" customFormat="1" ht="20" customHeight="1" spans="1:17">
      <c r="A833" s="438">
        <v>2130234</v>
      </c>
      <c r="B833" s="422" t="s">
        <v>787</v>
      </c>
      <c r="C833" s="307">
        <v>0</v>
      </c>
      <c r="D833" s="343"/>
      <c r="E833" s="307">
        <v>0</v>
      </c>
      <c r="F833" s="414"/>
      <c r="G833" s="346">
        <f t="shared" si="320"/>
        <v>0</v>
      </c>
      <c r="H833" s="414"/>
      <c r="I833" s="343"/>
      <c r="J833" s="307">
        <f t="shared" si="297"/>
        <v>0</v>
      </c>
      <c r="K833" s="306"/>
      <c r="M833" s="278">
        <f t="shared" si="309"/>
        <v>0</v>
      </c>
      <c r="N833" s="415"/>
      <c r="O833" s="415"/>
    </row>
    <row r="834" s="278" customFormat="1" ht="20" customHeight="1" spans="1:17">
      <c r="A834" s="438">
        <v>2130236</v>
      </c>
      <c r="B834" s="422" t="s">
        <v>788</v>
      </c>
      <c r="C834" s="307">
        <v>0</v>
      </c>
      <c r="D834" s="343"/>
      <c r="E834" s="307">
        <v>0</v>
      </c>
      <c r="F834" s="414"/>
      <c r="G834" s="346">
        <f t="shared" si="320"/>
        <v>0</v>
      </c>
      <c r="H834" s="414"/>
      <c r="I834" s="343"/>
      <c r="J834" s="307">
        <f t="shared" si="297"/>
        <v>0</v>
      </c>
      <c r="K834" s="306"/>
      <c r="M834" s="278">
        <f t="shared" si="309"/>
        <v>0</v>
      </c>
      <c r="N834" s="415"/>
      <c r="O834" s="415"/>
    </row>
    <row r="835" s="278" customFormat="1" ht="20" customHeight="1" spans="1:17">
      <c r="A835" s="438">
        <v>2130237</v>
      </c>
      <c r="B835" s="422" t="s">
        <v>757</v>
      </c>
      <c r="C835" s="307">
        <v>0</v>
      </c>
      <c r="D835" s="343"/>
      <c r="E835" s="307">
        <v>0</v>
      </c>
      <c r="F835" s="414"/>
      <c r="G835" s="346">
        <f t="shared" si="320"/>
        <v>0</v>
      </c>
      <c r="H835" s="414"/>
      <c r="I835" s="343"/>
      <c r="J835" s="307">
        <f t="shared" si="297"/>
        <v>0</v>
      </c>
      <c r="K835" s="306"/>
      <c r="M835" s="278">
        <f t="shared" si="309"/>
        <v>0</v>
      </c>
      <c r="N835" s="415"/>
      <c r="O835" s="415"/>
    </row>
    <row r="836" s="278" customFormat="1" ht="20" customHeight="1" spans="1:17">
      <c r="A836" s="438">
        <v>2130299</v>
      </c>
      <c r="B836" s="422" t="s">
        <v>789</v>
      </c>
      <c r="C836" s="307">
        <v>306.137374</v>
      </c>
      <c r="D836" s="425">
        <f>8+1475.8</f>
        <v>1483.8</v>
      </c>
      <c r="E836" s="307">
        <v>355</v>
      </c>
      <c r="F836" s="414">
        <f t="shared" ref="F836:F839" si="321">E836/D836*100</f>
        <v>23.9250572853484</v>
      </c>
      <c r="G836" s="346">
        <f t="shared" si="320"/>
        <v>48.862626</v>
      </c>
      <c r="H836" s="414">
        <f t="shared" ref="H836:H839" si="322">G836/C836*100</f>
        <v>15.9610129797481</v>
      </c>
      <c r="I836" s="420">
        <f>8+1408.65</f>
        <v>1416.65</v>
      </c>
      <c r="J836" s="307">
        <f t="shared" si="297"/>
        <v>-67.1499999999999</v>
      </c>
      <c r="K836" s="306">
        <f t="shared" ref="K836:K839" si="323">J836/D836*100</f>
        <v>-4.52554252594688</v>
      </c>
      <c r="M836" s="278">
        <f t="shared" si="309"/>
        <v>2</v>
      </c>
      <c r="N836" s="415">
        <v>2</v>
      </c>
      <c r="O836" s="415"/>
      <c r="P836" s="278">
        <v>480</v>
      </c>
      <c r="Q836" s="278">
        <v>2845</v>
      </c>
    </row>
    <row r="837" customFormat="1" ht="20" customHeight="1" spans="1:17">
      <c r="A837" s="437">
        <v>21303</v>
      </c>
      <c r="B837" s="427" t="s">
        <v>790</v>
      </c>
      <c r="C837" s="343">
        <f>SUM(C838:C864)</f>
        <v>3931.762996</v>
      </c>
      <c r="D837" s="343">
        <f t="shared" ref="D837:I837" si="324">SUM(D838:D864)</f>
        <v>2992.763852</v>
      </c>
      <c r="E837" s="343">
        <f t="shared" si="324"/>
        <v>3458</v>
      </c>
      <c r="F837" s="414">
        <f t="shared" si="321"/>
        <v>115.545367794024</v>
      </c>
      <c r="G837" s="346">
        <f t="shared" si="320"/>
        <v>-473.762996</v>
      </c>
      <c r="H837" s="414">
        <f t="shared" si="322"/>
        <v>-12.0496326071024</v>
      </c>
      <c r="I837" s="343">
        <f t="shared" si="324"/>
        <v>2963.118285</v>
      </c>
      <c r="J837" s="307">
        <f t="shared" si="297"/>
        <v>-29.6455670000005</v>
      </c>
      <c r="K837" s="306">
        <f t="shared" si="323"/>
        <v>-0.990574882150791</v>
      </c>
      <c r="M837">
        <f t="shared" si="309"/>
        <v>0</v>
      </c>
      <c r="N837" s="415"/>
      <c r="O837" s="415"/>
    </row>
    <row r="838" s="278" customFormat="1" ht="20" customHeight="1" spans="1:17">
      <c r="A838" s="438">
        <v>2130301</v>
      </c>
      <c r="B838" s="422" t="s">
        <v>731</v>
      </c>
      <c r="C838" s="307">
        <v>447.890431</v>
      </c>
      <c r="D838" s="343">
        <v>451.19153</v>
      </c>
      <c r="E838" s="307">
        <v>455</v>
      </c>
      <c r="F838" s="414">
        <f t="shared" si="321"/>
        <v>100.844091643298</v>
      </c>
      <c r="G838" s="346">
        <f t="shared" si="320"/>
        <v>7.10956900000002</v>
      </c>
      <c r="H838" s="414">
        <f t="shared" si="322"/>
        <v>1.58734558899295</v>
      </c>
      <c r="I838" s="343">
        <v>347.56</v>
      </c>
      <c r="J838" s="307">
        <f t="shared" ref="J838:J901" si="325">I838-D838</f>
        <v>-103.63153</v>
      </c>
      <c r="K838" s="306">
        <f t="shared" si="323"/>
        <v>-22.968412106495</v>
      </c>
      <c r="M838" s="278">
        <f t="shared" si="309"/>
        <v>449</v>
      </c>
      <c r="N838" s="415">
        <v>449</v>
      </c>
      <c r="O838" s="415"/>
    </row>
    <row r="839" s="278" customFormat="1" ht="20" customHeight="1" spans="1:17">
      <c r="A839" s="438">
        <v>2130302</v>
      </c>
      <c r="B839" s="422" t="s">
        <v>732</v>
      </c>
      <c r="C839" s="307">
        <v>4.25311</v>
      </c>
      <c r="D839" s="425">
        <v>3.886914</v>
      </c>
      <c r="E839" s="307">
        <v>11</v>
      </c>
      <c r="F839" s="414">
        <f t="shared" si="321"/>
        <v>283.00085877897</v>
      </c>
      <c r="G839" s="346">
        <f t="shared" si="320"/>
        <v>6.74689</v>
      </c>
      <c r="H839" s="414">
        <f t="shared" si="322"/>
        <v>158.634269981261</v>
      </c>
      <c r="I839" s="425"/>
      <c r="J839" s="307">
        <f t="shared" si="325"/>
        <v>-3.886914</v>
      </c>
      <c r="K839" s="306">
        <f t="shared" si="323"/>
        <v>-100</v>
      </c>
      <c r="M839" s="278">
        <f t="shared" si="309"/>
        <v>0</v>
      </c>
      <c r="N839" s="415"/>
      <c r="O839" s="415"/>
    </row>
    <row r="840" s="278" customFormat="1" ht="20" customHeight="1" spans="1:17">
      <c r="A840" s="438">
        <v>2130303</v>
      </c>
      <c r="B840" s="422" t="s">
        <v>733</v>
      </c>
      <c r="C840" s="307">
        <v>0</v>
      </c>
      <c r="D840" s="343"/>
      <c r="E840" s="307">
        <v>0</v>
      </c>
      <c r="F840" s="414"/>
      <c r="G840" s="346">
        <f t="shared" si="320"/>
        <v>0</v>
      </c>
      <c r="H840" s="414"/>
      <c r="I840" s="343"/>
      <c r="J840" s="307">
        <f t="shared" si="325"/>
        <v>0</v>
      </c>
      <c r="K840" s="306"/>
      <c r="M840" s="278">
        <f t="shared" si="309"/>
        <v>0</v>
      </c>
      <c r="N840" s="415"/>
      <c r="O840" s="415"/>
    </row>
    <row r="841" s="278" customFormat="1" ht="20" customHeight="1" spans="1:17">
      <c r="A841" s="438">
        <v>2130304</v>
      </c>
      <c r="B841" s="422" t="s">
        <v>791</v>
      </c>
      <c r="C841" s="307">
        <v>0</v>
      </c>
      <c r="D841" s="343"/>
      <c r="E841" s="307">
        <v>0</v>
      </c>
      <c r="F841" s="414"/>
      <c r="G841" s="346">
        <f t="shared" si="320"/>
        <v>0</v>
      </c>
      <c r="H841" s="414"/>
      <c r="I841" s="343"/>
      <c r="J841" s="307">
        <f t="shared" si="325"/>
        <v>0</v>
      </c>
      <c r="K841" s="306"/>
      <c r="M841" s="278">
        <f t="shared" si="309"/>
        <v>0</v>
      </c>
      <c r="N841" s="415"/>
      <c r="O841" s="415"/>
    </row>
    <row r="842" s="278" customFormat="1" ht="20" customHeight="1" spans="1:17">
      <c r="A842" s="438">
        <v>2130305</v>
      </c>
      <c r="B842" s="422" t="s">
        <v>792</v>
      </c>
      <c r="C842" s="307">
        <v>2156.027821</v>
      </c>
      <c r="D842" s="343"/>
      <c r="E842" s="307">
        <v>762</v>
      </c>
      <c r="F842" s="414"/>
      <c r="G842" s="346">
        <f t="shared" si="320"/>
        <v>-1394.027821</v>
      </c>
      <c r="H842" s="414">
        <f>G842/C842*100</f>
        <v>-64.6572278623672</v>
      </c>
      <c r="I842" s="343">
        <v>637</v>
      </c>
      <c r="J842" s="307">
        <f t="shared" si="325"/>
        <v>637</v>
      </c>
      <c r="K842" s="306"/>
      <c r="M842" s="278">
        <f t="shared" si="309"/>
        <v>0</v>
      </c>
      <c r="N842" s="415"/>
      <c r="O842" s="415"/>
      <c r="P842" s="278">
        <v>655</v>
      </c>
      <c r="Q842" s="278">
        <v>50</v>
      </c>
    </row>
    <row r="843" s="278" customFormat="1" ht="20" customHeight="1" spans="1:17">
      <c r="A843" s="438">
        <v>2130306</v>
      </c>
      <c r="B843" s="422" t="s">
        <v>793</v>
      </c>
      <c r="C843" s="307">
        <v>624.385076</v>
      </c>
      <c r="D843" s="343">
        <v>651.485408</v>
      </c>
      <c r="E843" s="307">
        <v>668</v>
      </c>
      <c r="F843" s="414">
        <f>E843/D843*100</f>
        <v>102.534913567857</v>
      </c>
      <c r="G843" s="346">
        <f t="shared" si="320"/>
        <v>43.614924</v>
      </c>
      <c r="H843" s="414">
        <f>G843/C843*100</f>
        <v>6.98526048691144</v>
      </c>
      <c r="I843" s="343">
        <v>691.42</v>
      </c>
      <c r="J843" s="307">
        <f t="shared" si="325"/>
        <v>39.934592</v>
      </c>
      <c r="K843" s="306">
        <f>J843/D843*100</f>
        <v>6.12977535791561</v>
      </c>
      <c r="M843" s="278">
        <f t="shared" si="309"/>
        <v>604</v>
      </c>
      <c r="N843" s="415">
        <v>604</v>
      </c>
      <c r="O843" s="415"/>
    </row>
    <row r="844" s="278" customFormat="1" ht="20" customHeight="1" spans="1:17">
      <c r="A844" s="438">
        <v>2130307</v>
      </c>
      <c r="B844" s="422" t="s">
        <v>794</v>
      </c>
      <c r="C844" s="307">
        <v>0</v>
      </c>
      <c r="D844" s="343"/>
      <c r="E844" s="307">
        <v>0</v>
      </c>
      <c r="F844" s="414"/>
      <c r="G844" s="346">
        <f t="shared" si="320"/>
        <v>0</v>
      </c>
      <c r="H844" s="414"/>
      <c r="I844" s="343"/>
      <c r="J844" s="307">
        <f t="shared" si="325"/>
        <v>0</v>
      </c>
      <c r="K844" s="306"/>
      <c r="M844" s="278">
        <f t="shared" si="309"/>
        <v>0</v>
      </c>
      <c r="N844" s="415"/>
      <c r="O844" s="415"/>
    </row>
    <row r="845" s="278" customFormat="1" ht="20" customHeight="1" spans="1:17">
      <c r="A845" s="438">
        <v>2130308</v>
      </c>
      <c r="B845" s="422" t="s">
        <v>795</v>
      </c>
      <c r="C845" s="307">
        <v>0</v>
      </c>
      <c r="D845" s="343"/>
      <c r="E845" s="307">
        <v>0</v>
      </c>
      <c r="F845" s="414"/>
      <c r="G845" s="346">
        <f t="shared" si="320"/>
        <v>0</v>
      </c>
      <c r="H845" s="414"/>
      <c r="I845" s="343"/>
      <c r="J845" s="307">
        <f t="shared" si="325"/>
        <v>0</v>
      </c>
      <c r="K845" s="306"/>
      <c r="M845" s="278">
        <f t="shared" si="309"/>
        <v>0</v>
      </c>
      <c r="N845" s="415"/>
      <c r="O845" s="415"/>
    </row>
    <row r="846" s="278" customFormat="1" ht="20" customHeight="1" spans="1:17">
      <c r="A846" s="438">
        <v>2130309</v>
      </c>
      <c r="B846" s="422" t="s">
        <v>796</v>
      </c>
      <c r="C846" s="307">
        <v>0</v>
      </c>
      <c r="D846" s="343"/>
      <c r="E846" s="307">
        <v>0</v>
      </c>
      <c r="F846" s="414"/>
      <c r="G846" s="346">
        <f t="shared" si="320"/>
        <v>0</v>
      </c>
      <c r="H846" s="414"/>
      <c r="I846" s="343"/>
      <c r="J846" s="307">
        <f t="shared" si="325"/>
        <v>0</v>
      </c>
      <c r="K846" s="306"/>
      <c r="M846" s="278">
        <f t="shared" si="309"/>
        <v>0</v>
      </c>
      <c r="N846" s="415"/>
      <c r="O846" s="415"/>
    </row>
    <row r="847" s="278" customFormat="1" ht="20" customHeight="1" spans="1:17">
      <c r="A847" s="438">
        <v>2130310</v>
      </c>
      <c r="B847" s="422" t="s">
        <v>797</v>
      </c>
      <c r="C847" s="307">
        <v>0</v>
      </c>
      <c r="D847" s="343"/>
      <c r="E847" s="307">
        <v>230</v>
      </c>
      <c r="F847" s="414"/>
      <c r="G847" s="346">
        <f t="shared" si="320"/>
        <v>230</v>
      </c>
      <c r="H847" s="414"/>
      <c r="I847" s="420">
        <f>79.103285+169</f>
        <v>248.103285</v>
      </c>
      <c r="J847" s="307">
        <f t="shared" si="325"/>
        <v>248.103285</v>
      </c>
      <c r="K847" s="306"/>
      <c r="M847" s="278">
        <f t="shared" si="309"/>
        <v>0</v>
      </c>
      <c r="N847" s="415"/>
      <c r="O847" s="415"/>
    </row>
    <row r="848" s="278" customFormat="1" ht="20" customHeight="1" spans="1:17">
      <c r="A848" s="438">
        <v>2130311</v>
      </c>
      <c r="B848" s="422" t="s">
        <v>798</v>
      </c>
      <c r="C848" s="307">
        <v>0</v>
      </c>
      <c r="D848" s="343"/>
      <c r="E848" s="307">
        <v>0</v>
      </c>
      <c r="F848" s="414"/>
      <c r="G848" s="346">
        <f t="shared" si="320"/>
        <v>0</v>
      </c>
      <c r="H848" s="414"/>
      <c r="I848" s="343"/>
      <c r="J848" s="307">
        <f t="shared" si="325"/>
        <v>0</v>
      </c>
      <c r="K848" s="306"/>
      <c r="M848" s="278">
        <f t="shared" si="309"/>
        <v>0</v>
      </c>
      <c r="N848" s="415"/>
      <c r="O848" s="415"/>
    </row>
    <row r="849" s="278" customFormat="1" ht="20" customHeight="1" spans="1:17">
      <c r="A849" s="438">
        <v>2130312</v>
      </c>
      <c r="B849" s="422" t="s">
        <v>799</v>
      </c>
      <c r="C849" s="307">
        <v>0</v>
      </c>
      <c r="D849" s="343"/>
      <c r="E849" s="307">
        <v>0</v>
      </c>
      <c r="F849" s="414"/>
      <c r="G849" s="346">
        <f t="shared" si="320"/>
        <v>0</v>
      </c>
      <c r="H849" s="414"/>
      <c r="I849" s="343"/>
      <c r="J849" s="307">
        <f t="shared" si="325"/>
        <v>0</v>
      </c>
      <c r="K849" s="306"/>
      <c r="M849" s="278">
        <f t="shared" si="309"/>
        <v>0</v>
      </c>
      <c r="N849" s="415"/>
      <c r="O849" s="415"/>
    </row>
    <row r="850" s="278" customFormat="1" ht="20" customHeight="1" spans="1:17">
      <c r="A850" s="438">
        <v>2130313</v>
      </c>
      <c r="B850" s="422" t="s">
        <v>800</v>
      </c>
      <c r="C850" s="307">
        <v>0</v>
      </c>
      <c r="D850" s="343"/>
      <c r="E850" s="307">
        <v>0</v>
      </c>
      <c r="F850" s="414"/>
      <c r="G850" s="346">
        <f t="shared" si="320"/>
        <v>0</v>
      </c>
      <c r="H850" s="414"/>
      <c r="I850" s="343"/>
      <c r="J850" s="307">
        <f t="shared" si="325"/>
        <v>0</v>
      </c>
      <c r="K850" s="306"/>
      <c r="M850" s="278">
        <f t="shared" si="309"/>
        <v>0</v>
      </c>
      <c r="N850" s="415"/>
      <c r="O850" s="415"/>
    </row>
    <row r="851" s="278" customFormat="1" ht="20" customHeight="1" spans="1:17">
      <c r="A851" s="438">
        <v>2130314</v>
      </c>
      <c r="B851" s="422" t="s">
        <v>801</v>
      </c>
      <c r="C851" s="307">
        <v>117.176558</v>
      </c>
      <c r="D851" s="425">
        <f>1+80</f>
        <v>81</v>
      </c>
      <c r="E851" s="307">
        <v>176</v>
      </c>
      <c r="F851" s="414">
        <f t="shared" ref="F851:F857" si="326">E851/D851*100</f>
        <v>217.283950617284</v>
      </c>
      <c r="G851" s="346">
        <f t="shared" si="320"/>
        <v>58.823442</v>
      </c>
      <c r="H851" s="414">
        <f t="shared" ref="H851:H853" si="327">G851/C851*100</f>
        <v>50.2006911655487</v>
      </c>
      <c r="I851" s="420">
        <f>89.505+4.33</f>
        <v>93.835</v>
      </c>
      <c r="J851" s="307">
        <f t="shared" si="325"/>
        <v>12.835</v>
      </c>
      <c r="K851" s="306">
        <f t="shared" ref="K851:K857" si="328">J851/D851*100</f>
        <v>15.8456790123457</v>
      </c>
      <c r="M851" s="278">
        <f t="shared" si="309"/>
        <v>1</v>
      </c>
      <c r="N851" s="415">
        <v>1</v>
      </c>
      <c r="O851" s="415"/>
      <c r="Q851" s="278">
        <v>15</v>
      </c>
    </row>
    <row r="852" s="278" customFormat="1" ht="20" customHeight="1" spans="1:17">
      <c r="A852" s="438">
        <v>2130315</v>
      </c>
      <c r="B852" s="422" t="s">
        <v>802</v>
      </c>
      <c r="C852" s="307">
        <v>31</v>
      </c>
      <c r="D852" s="343"/>
      <c r="E852" s="307">
        <v>1</v>
      </c>
      <c r="F852" s="414"/>
      <c r="G852" s="346">
        <f t="shared" si="320"/>
        <v>-30</v>
      </c>
      <c r="H852" s="414">
        <f t="shared" si="327"/>
        <v>-96.7741935483871</v>
      </c>
      <c r="I852" s="343"/>
      <c r="J852" s="307">
        <f t="shared" si="325"/>
        <v>0</v>
      </c>
      <c r="K852" s="306"/>
      <c r="M852" s="278">
        <f t="shared" si="309"/>
        <v>0</v>
      </c>
      <c r="N852" s="415"/>
      <c r="O852" s="415"/>
      <c r="Q852" s="278">
        <v>100</v>
      </c>
    </row>
    <row r="853" s="278" customFormat="1" ht="20" customHeight="1" spans="1:17">
      <c r="A853" s="438">
        <v>2130316</v>
      </c>
      <c r="B853" s="422" t="s">
        <v>803</v>
      </c>
      <c r="C853" s="307">
        <v>6</v>
      </c>
      <c r="D853" s="343">
        <v>55</v>
      </c>
      <c r="E853" s="307"/>
      <c r="F853" s="414">
        <f t="shared" si="326"/>
        <v>0</v>
      </c>
      <c r="G853" s="346">
        <f t="shared" si="320"/>
        <v>-6</v>
      </c>
      <c r="H853" s="414">
        <f t="shared" si="327"/>
        <v>-100</v>
      </c>
      <c r="I853" s="343"/>
      <c r="J853" s="307">
        <f t="shared" si="325"/>
        <v>-55</v>
      </c>
      <c r="K853" s="306">
        <f t="shared" si="328"/>
        <v>-100</v>
      </c>
      <c r="M853" s="278">
        <f t="shared" si="309"/>
        <v>0</v>
      </c>
      <c r="N853" s="415"/>
      <c r="O853" s="415"/>
    </row>
    <row r="854" s="278" customFormat="1" ht="20" customHeight="1" spans="1:17">
      <c r="A854" s="438">
        <v>2130317</v>
      </c>
      <c r="B854" s="422" t="s">
        <v>804</v>
      </c>
      <c r="C854" s="307">
        <v>0</v>
      </c>
      <c r="D854" s="343"/>
      <c r="E854" s="307">
        <v>0</v>
      </c>
      <c r="F854" s="414"/>
      <c r="G854" s="346">
        <f t="shared" si="320"/>
        <v>0</v>
      </c>
      <c r="H854" s="414"/>
      <c r="I854" s="343"/>
      <c r="J854" s="307">
        <f t="shared" si="325"/>
        <v>0</v>
      </c>
      <c r="K854" s="306"/>
      <c r="M854" s="278">
        <f t="shared" si="309"/>
        <v>0</v>
      </c>
      <c r="N854" s="415"/>
      <c r="O854" s="415"/>
    </row>
    <row r="855" s="278" customFormat="1" ht="20" customHeight="1" spans="1:17">
      <c r="A855" s="438">
        <v>2130318</v>
      </c>
      <c r="B855" s="422" t="s">
        <v>805</v>
      </c>
      <c r="C855" s="307">
        <v>0</v>
      </c>
      <c r="D855" s="343"/>
      <c r="E855" s="307">
        <v>0</v>
      </c>
      <c r="F855" s="414"/>
      <c r="G855" s="346">
        <f t="shared" si="320"/>
        <v>0</v>
      </c>
      <c r="H855" s="414"/>
      <c r="I855" s="343"/>
      <c r="J855" s="307">
        <f t="shared" si="325"/>
        <v>0</v>
      </c>
      <c r="K855" s="306"/>
      <c r="M855" s="278">
        <f t="shared" si="309"/>
        <v>0</v>
      </c>
      <c r="N855" s="415"/>
      <c r="O855" s="415"/>
    </row>
    <row r="856" s="278" customFormat="1" ht="20" customHeight="1" spans="1:17">
      <c r="A856" s="438">
        <v>2130319</v>
      </c>
      <c r="B856" s="422" t="s">
        <v>806</v>
      </c>
      <c r="C856" s="307">
        <v>0</v>
      </c>
      <c r="D856" s="425">
        <v>2</v>
      </c>
      <c r="E856" s="307">
        <v>60</v>
      </c>
      <c r="F856" s="414">
        <f t="shared" si="326"/>
        <v>3000</v>
      </c>
      <c r="G856" s="346">
        <f t="shared" si="320"/>
        <v>60</v>
      </c>
      <c r="H856" s="414"/>
      <c r="I856" s="425"/>
      <c r="J856" s="307">
        <f t="shared" si="325"/>
        <v>-2</v>
      </c>
      <c r="K856" s="306">
        <f t="shared" si="328"/>
        <v>-100</v>
      </c>
      <c r="M856" s="278">
        <f t="shared" si="309"/>
        <v>2</v>
      </c>
      <c r="N856" s="415">
        <v>2</v>
      </c>
      <c r="O856" s="415"/>
    </row>
    <row r="857" s="278" customFormat="1" ht="20" customHeight="1" spans="1:17">
      <c r="A857" s="438">
        <v>2130321</v>
      </c>
      <c r="B857" s="422" t="s">
        <v>807</v>
      </c>
      <c r="C857" s="307">
        <v>80.23</v>
      </c>
      <c r="D857" s="343">
        <f>53+470+440</f>
        <v>963</v>
      </c>
      <c r="E857" s="307">
        <v>256</v>
      </c>
      <c r="F857" s="414">
        <f t="shared" si="326"/>
        <v>26.5835929387331</v>
      </c>
      <c r="G857" s="346">
        <f t="shared" si="320"/>
        <v>175.77</v>
      </c>
      <c r="H857" s="414">
        <f>G857/C857*100</f>
        <v>219.082637417425</v>
      </c>
      <c r="I857" s="343"/>
      <c r="J857" s="307">
        <f t="shared" si="325"/>
        <v>-963</v>
      </c>
      <c r="K857" s="306">
        <f t="shared" si="328"/>
        <v>-100</v>
      </c>
      <c r="M857" s="278">
        <f t="shared" si="309"/>
        <v>0</v>
      </c>
      <c r="N857" s="415"/>
      <c r="O857" s="415"/>
      <c r="P857" s="278">
        <v>470</v>
      </c>
    </row>
    <row r="858" s="278" customFormat="1" ht="20" customHeight="1" spans="1:17">
      <c r="A858" s="438">
        <v>2130322</v>
      </c>
      <c r="B858" s="422" t="s">
        <v>808</v>
      </c>
      <c r="C858" s="307">
        <v>0</v>
      </c>
      <c r="D858" s="343"/>
      <c r="E858" s="307">
        <v>0</v>
      </c>
      <c r="F858" s="414"/>
      <c r="G858" s="346">
        <f t="shared" si="320"/>
        <v>0</v>
      </c>
      <c r="H858" s="414"/>
      <c r="I858" s="343"/>
      <c r="J858" s="307">
        <f t="shared" si="325"/>
        <v>0</v>
      </c>
      <c r="K858" s="306"/>
      <c r="M858" s="278">
        <f t="shared" si="309"/>
        <v>0</v>
      </c>
      <c r="N858" s="415"/>
      <c r="O858" s="415"/>
    </row>
    <row r="859" s="278" customFormat="1" ht="20" customHeight="1" spans="1:17">
      <c r="A859" s="438">
        <v>2130333</v>
      </c>
      <c r="B859" s="422" t="s">
        <v>784</v>
      </c>
      <c r="C859" s="307">
        <v>0</v>
      </c>
      <c r="D859" s="343"/>
      <c r="E859" s="307">
        <v>0</v>
      </c>
      <c r="F859" s="414"/>
      <c r="G859" s="346">
        <f t="shared" si="320"/>
        <v>0</v>
      </c>
      <c r="H859" s="414"/>
      <c r="I859" s="343"/>
      <c r="J859" s="307">
        <f t="shared" si="325"/>
        <v>0</v>
      </c>
      <c r="K859" s="306"/>
      <c r="M859" s="278">
        <f t="shared" si="309"/>
        <v>0</v>
      </c>
      <c r="N859" s="415"/>
      <c r="O859" s="415"/>
    </row>
    <row r="860" s="278" customFormat="1" ht="20" customHeight="1" spans="1:17">
      <c r="A860" s="438">
        <v>2130334</v>
      </c>
      <c r="B860" s="422" t="s">
        <v>809</v>
      </c>
      <c r="C860" s="307">
        <v>0</v>
      </c>
      <c r="D860" s="343"/>
      <c r="E860" s="307">
        <v>0</v>
      </c>
      <c r="F860" s="414"/>
      <c r="G860" s="346">
        <f t="shared" si="320"/>
        <v>0</v>
      </c>
      <c r="H860" s="414"/>
      <c r="I860" s="343">
        <v>61</v>
      </c>
      <c r="J860" s="307">
        <f t="shared" si="325"/>
        <v>61</v>
      </c>
      <c r="K860" s="306"/>
      <c r="M860" s="278">
        <f t="shared" si="309"/>
        <v>0</v>
      </c>
      <c r="N860" s="415"/>
      <c r="O860" s="415"/>
    </row>
    <row r="861" s="278" customFormat="1" ht="20" customHeight="1" spans="1:17">
      <c r="A861" s="438">
        <v>2130335</v>
      </c>
      <c r="B861" s="422" t="s">
        <v>810</v>
      </c>
      <c r="C861" s="307">
        <v>0</v>
      </c>
      <c r="D861" s="343"/>
      <c r="E861" s="307">
        <v>0</v>
      </c>
      <c r="F861" s="414"/>
      <c r="G861" s="346">
        <f t="shared" si="320"/>
        <v>0</v>
      </c>
      <c r="H861" s="414"/>
      <c r="I861" s="343"/>
      <c r="J861" s="307">
        <f t="shared" si="325"/>
        <v>0</v>
      </c>
      <c r="K861" s="306"/>
      <c r="M861" s="278">
        <f t="shared" ref="M861:M924" si="329">N861+O861</f>
        <v>0</v>
      </c>
      <c r="N861" s="415"/>
      <c r="O861" s="415"/>
    </row>
    <row r="862" s="278" customFormat="1" ht="20" customHeight="1" spans="1:17">
      <c r="A862" s="438">
        <v>2130336</v>
      </c>
      <c r="B862" s="239" t="s">
        <v>811</v>
      </c>
      <c r="C862" s="307">
        <v>0</v>
      </c>
      <c r="D862" s="343"/>
      <c r="E862" s="307">
        <v>0</v>
      </c>
      <c r="F862" s="414"/>
      <c r="G862" s="346">
        <f t="shared" si="320"/>
        <v>0</v>
      </c>
      <c r="H862" s="414"/>
      <c r="I862" s="343"/>
      <c r="J862" s="307">
        <f t="shared" si="325"/>
        <v>0</v>
      </c>
      <c r="K862" s="306"/>
      <c r="M862" s="278">
        <f t="shared" si="329"/>
        <v>0</v>
      </c>
      <c r="N862" s="415"/>
      <c r="O862" s="415"/>
    </row>
    <row r="863" s="278" customFormat="1" ht="20" customHeight="1" spans="1:17">
      <c r="A863" s="438">
        <v>2130337</v>
      </c>
      <c r="B863" s="239" t="s">
        <v>812</v>
      </c>
      <c r="C863" s="307">
        <v>0</v>
      </c>
      <c r="D863" s="343"/>
      <c r="E863" s="307">
        <v>0</v>
      </c>
      <c r="F863" s="414"/>
      <c r="G863" s="346">
        <f t="shared" si="320"/>
        <v>0</v>
      </c>
      <c r="H863" s="414"/>
      <c r="I863" s="343"/>
      <c r="J863" s="307">
        <f t="shared" si="325"/>
        <v>0</v>
      </c>
      <c r="K863" s="306"/>
      <c r="M863" s="278">
        <f t="shared" si="329"/>
        <v>0</v>
      </c>
      <c r="N863" s="415"/>
      <c r="O863" s="415"/>
    </row>
    <row r="864" s="278" customFormat="1" ht="20" customHeight="1" spans="1:17">
      <c r="A864" s="438">
        <v>2130399</v>
      </c>
      <c r="B864" s="422" t="s">
        <v>813</v>
      </c>
      <c r="C864" s="307">
        <v>464.8</v>
      </c>
      <c r="D864" s="343">
        <f>600+185.2</f>
        <v>785.2</v>
      </c>
      <c r="E864" s="307">
        <v>839</v>
      </c>
      <c r="F864" s="414">
        <f t="shared" ref="F864:F869" si="330">E864/D864*100</f>
        <v>106.851757514009</v>
      </c>
      <c r="G864" s="346">
        <f t="shared" si="320"/>
        <v>374.2</v>
      </c>
      <c r="H864" s="414">
        <f t="shared" ref="H864:H867" si="331">G864/C864*100</f>
        <v>80.5077452667814</v>
      </c>
      <c r="I864" s="343">
        <f>194.2+57+535+98</f>
        <v>884.2</v>
      </c>
      <c r="J864" s="307">
        <f t="shared" si="325"/>
        <v>99</v>
      </c>
      <c r="K864" s="306">
        <f t="shared" ref="K864:K869" si="332">J864/D864*100</f>
        <v>12.6082526744778</v>
      </c>
      <c r="M864" s="278">
        <f t="shared" si="329"/>
        <v>0</v>
      </c>
      <c r="N864" s="415"/>
      <c r="O864" s="415"/>
      <c r="Q864" s="278">
        <v>858</v>
      </c>
    </row>
    <row r="865" customFormat="1" ht="20" customHeight="1" spans="1:16">
      <c r="A865" s="437">
        <v>21305</v>
      </c>
      <c r="B865" s="427" t="s">
        <v>814</v>
      </c>
      <c r="C865" s="343">
        <f>SUM(C866:C875)</f>
        <v>15802.66036</v>
      </c>
      <c r="D865" s="343">
        <f t="shared" ref="D865:I865" si="333">SUM(D866:D875)</f>
        <v>9908.1</v>
      </c>
      <c r="E865" s="343">
        <f t="shared" si="333"/>
        <v>12375</v>
      </c>
      <c r="F865" s="414">
        <f t="shared" si="330"/>
        <v>124.897810882006</v>
      </c>
      <c r="G865" s="346">
        <f t="shared" si="320"/>
        <v>-3427.66036</v>
      </c>
      <c r="H865" s="414">
        <f t="shared" si="331"/>
        <v>-21.6904007421191</v>
      </c>
      <c r="I865" s="343">
        <f t="shared" si="333"/>
        <v>6629.94</v>
      </c>
      <c r="J865" s="307">
        <f t="shared" si="325"/>
        <v>-3278.16</v>
      </c>
      <c r="K865" s="306">
        <f t="shared" si="332"/>
        <v>-33.0856571895722</v>
      </c>
      <c r="M865">
        <f t="shared" si="329"/>
        <v>0</v>
      </c>
      <c r="N865" s="415"/>
      <c r="O865" s="415"/>
    </row>
    <row r="866" s="278" customFormat="1" ht="20" customHeight="1" spans="1:16">
      <c r="A866" s="438">
        <v>2130501</v>
      </c>
      <c r="B866" s="422" t="s">
        <v>731</v>
      </c>
      <c r="C866" s="307">
        <v>123.221109</v>
      </c>
      <c r="D866" s="343"/>
      <c r="E866" s="307"/>
      <c r="F866" s="414"/>
      <c r="G866" s="346">
        <f t="shared" si="320"/>
        <v>-123.221109</v>
      </c>
      <c r="H866" s="414">
        <f t="shared" si="331"/>
        <v>-100</v>
      </c>
      <c r="I866" s="343"/>
      <c r="J866" s="307">
        <f t="shared" si="325"/>
        <v>0</v>
      </c>
      <c r="K866" s="306"/>
      <c r="M866" s="278">
        <f t="shared" si="329"/>
        <v>148</v>
      </c>
      <c r="N866" s="415">
        <v>148</v>
      </c>
      <c r="O866" s="415"/>
    </row>
    <row r="867" s="278" customFormat="1" ht="20" customHeight="1" spans="1:16">
      <c r="A867" s="438">
        <v>2130502</v>
      </c>
      <c r="B867" s="422" t="s">
        <v>732</v>
      </c>
      <c r="C867" s="307">
        <v>210.9165</v>
      </c>
      <c r="D867" s="343"/>
      <c r="E867" s="307"/>
      <c r="F867" s="414"/>
      <c r="G867" s="346">
        <f t="shared" si="320"/>
        <v>-210.9165</v>
      </c>
      <c r="H867" s="414">
        <f t="shared" si="331"/>
        <v>-100</v>
      </c>
      <c r="I867" s="343"/>
      <c r="J867" s="307">
        <f t="shared" si="325"/>
        <v>0</v>
      </c>
      <c r="K867" s="306"/>
      <c r="M867" s="278">
        <f t="shared" si="329"/>
        <v>123</v>
      </c>
      <c r="N867" s="415">
        <v>123</v>
      </c>
      <c r="O867" s="415"/>
    </row>
    <row r="868" s="278" customFormat="1" ht="20" customHeight="1" spans="1:16">
      <c r="A868" s="438">
        <v>2130503</v>
      </c>
      <c r="B868" s="422" t="s">
        <v>733</v>
      </c>
      <c r="C868" s="307">
        <v>0</v>
      </c>
      <c r="D868" s="343"/>
      <c r="E868" s="307">
        <v>0</v>
      </c>
      <c r="F868" s="414"/>
      <c r="G868" s="346">
        <f t="shared" si="320"/>
        <v>0</v>
      </c>
      <c r="H868" s="414"/>
      <c r="I868" s="343"/>
      <c r="J868" s="307">
        <f t="shared" si="325"/>
        <v>0</v>
      </c>
      <c r="K868" s="306"/>
      <c r="M868" s="278">
        <f t="shared" si="329"/>
        <v>0</v>
      </c>
      <c r="N868" s="415"/>
      <c r="O868" s="415"/>
    </row>
    <row r="869" s="278" customFormat="1" ht="20" customHeight="1" spans="1:16">
      <c r="A869" s="438">
        <v>2130504</v>
      </c>
      <c r="B869" s="422" t="s">
        <v>815</v>
      </c>
      <c r="C869" s="307">
        <v>5372.792337</v>
      </c>
      <c r="D869" s="343">
        <v>851</v>
      </c>
      <c r="E869" s="307">
        <v>6311</v>
      </c>
      <c r="F869" s="414">
        <f t="shared" si="330"/>
        <v>741.598119858989</v>
      </c>
      <c r="G869" s="346">
        <f t="shared" si="320"/>
        <v>938.207663</v>
      </c>
      <c r="H869" s="414">
        <f t="shared" ref="H869:H872" si="334">G869/C869*100</f>
        <v>17.4621985022385</v>
      </c>
      <c r="I869" s="343">
        <f>551.24+2126</f>
        <v>2677.24</v>
      </c>
      <c r="J869" s="307">
        <f t="shared" si="325"/>
        <v>1826.24</v>
      </c>
      <c r="K869" s="306">
        <f t="shared" si="332"/>
        <v>214.599294947121</v>
      </c>
      <c r="M869" s="278">
        <f t="shared" si="329"/>
        <v>0</v>
      </c>
      <c r="N869" s="415"/>
      <c r="O869" s="415"/>
      <c r="P869" s="278">
        <v>4661</v>
      </c>
    </row>
    <row r="870" s="278" customFormat="1" ht="20" customHeight="1" spans="1:16">
      <c r="A870" s="438">
        <v>2130505</v>
      </c>
      <c r="B870" s="422" t="s">
        <v>816</v>
      </c>
      <c r="C870" s="307">
        <v>2523.636654</v>
      </c>
      <c r="D870" s="343"/>
      <c r="E870" s="307">
        <v>1650</v>
      </c>
      <c r="F870" s="414"/>
      <c r="G870" s="346">
        <f t="shared" si="320"/>
        <v>-873.636654</v>
      </c>
      <c r="H870" s="414">
        <f t="shared" si="334"/>
        <v>-34.6181631422762</v>
      </c>
      <c r="I870" s="343">
        <v>800</v>
      </c>
      <c r="J870" s="307">
        <f t="shared" si="325"/>
        <v>800</v>
      </c>
      <c r="K870" s="306"/>
      <c r="M870" s="278">
        <f t="shared" si="329"/>
        <v>0</v>
      </c>
      <c r="N870" s="415"/>
      <c r="O870" s="415"/>
      <c r="P870" s="278">
        <v>1726</v>
      </c>
    </row>
    <row r="871" s="278" customFormat="1" ht="20" customHeight="1" spans="1:16">
      <c r="A871" s="438">
        <v>2130506</v>
      </c>
      <c r="B871" s="422" t="s">
        <v>817</v>
      </c>
      <c r="C871" s="307">
        <v>131.882</v>
      </c>
      <c r="D871" s="343"/>
      <c r="E871" s="307">
        <v>160</v>
      </c>
      <c r="F871" s="414"/>
      <c r="G871" s="346">
        <f t="shared" si="320"/>
        <v>28.118</v>
      </c>
      <c r="H871" s="414">
        <f t="shared" si="334"/>
        <v>21.32057445292</v>
      </c>
      <c r="I871" s="343">
        <v>140</v>
      </c>
      <c r="J871" s="307">
        <f t="shared" si="325"/>
        <v>140</v>
      </c>
      <c r="K871" s="306"/>
      <c r="M871" s="278">
        <f t="shared" si="329"/>
        <v>0</v>
      </c>
      <c r="N871" s="415"/>
      <c r="O871" s="415"/>
      <c r="P871" s="278">
        <v>150</v>
      </c>
    </row>
    <row r="872" s="278" customFormat="1" ht="20" customHeight="1" spans="1:16">
      <c r="A872" s="438">
        <v>2130507</v>
      </c>
      <c r="B872" s="422" t="s">
        <v>818</v>
      </c>
      <c r="C872" s="307">
        <v>317.031139</v>
      </c>
      <c r="D872" s="343"/>
      <c r="E872" s="307">
        <v>230</v>
      </c>
      <c r="F872" s="414"/>
      <c r="G872" s="346">
        <f t="shared" si="320"/>
        <v>-87.031139</v>
      </c>
      <c r="H872" s="414">
        <f t="shared" si="334"/>
        <v>-27.4519213710424</v>
      </c>
      <c r="I872" s="343">
        <v>120</v>
      </c>
      <c r="J872" s="307">
        <f t="shared" si="325"/>
        <v>120</v>
      </c>
      <c r="K872" s="306"/>
      <c r="M872" s="278">
        <f t="shared" si="329"/>
        <v>0</v>
      </c>
      <c r="N872" s="415"/>
      <c r="O872" s="415"/>
      <c r="P872" s="278">
        <v>180</v>
      </c>
    </row>
    <row r="873" s="278" customFormat="1" ht="20" customHeight="1" spans="1:16">
      <c r="A873" s="438">
        <v>2130508</v>
      </c>
      <c r="B873" s="422" t="s">
        <v>819</v>
      </c>
      <c r="C873" s="307">
        <v>0</v>
      </c>
      <c r="D873" s="343"/>
      <c r="E873" s="307">
        <v>0</v>
      </c>
      <c r="F873" s="414"/>
      <c r="G873" s="346">
        <f t="shared" si="320"/>
        <v>0</v>
      </c>
      <c r="H873" s="414"/>
      <c r="I873" s="343"/>
      <c r="J873" s="307">
        <f t="shared" si="325"/>
        <v>0</v>
      </c>
      <c r="K873" s="306"/>
      <c r="M873" s="278">
        <f t="shared" si="329"/>
        <v>0</v>
      </c>
      <c r="N873" s="415"/>
      <c r="O873" s="415"/>
    </row>
    <row r="874" s="278" customFormat="1" ht="20" customHeight="1" spans="1:16">
      <c r="A874" s="438">
        <v>2130550</v>
      </c>
      <c r="B874" s="422" t="s">
        <v>750</v>
      </c>
      <c r="C874" s="307">
        <v>0</v>
      </c>
      <c r="D874" s="343"/>
      <c r="E874" s="307">
        <v>0</v>
      </c>
      <c r="F874" s="414"/>
      <c r="G874" s="346">
        <f t="shared" si="320"/>
        <v>0</v>
      </c>
      <c r="H874" s="414"/>
      <c r="I874" s="343"/>
      <c r="J874" s="307">
        <f t="shared" si="325"/>
        <v>0</v>
      </c>
      <c r="K874" s="306"/>
      <c r="M874" s="278">
        <f t="shared" si="329"/>
        <v>0</v>
      </c>
      <c r="N874" s="415"/>
      <c r="O874" s="415"/>
    </row>
    <row r="875" s="278" customFormat="1" ht="20" customHeight="1" spans="1:16">
      <c r="A875" s="438">
        <v>2130599</v>
      </c>
      <c r="B875" s="422" t="s">
        <v>820</v>
      </c>
      <c r="C875" s="307">
        <v>7123.180621</v>
      </c>
      <c r="D875" s="425">
        <f>1083.1+7974</f>
        <v>9057.1</v>
      </c>
      <c r="E875" s="307">
        <v>4024</v>
      </c>
      <c r="F875" s="414">
        <f t="shared" ref="F875:F877" si="335">E875/D875*100</f>
        <v>44.4292323149794</v>
      </c>
      <c r="G875" s="346">
        <f t="shared" si="320"/>
        <v>-3099.180621</v>
      </c>
      <c r="H875" s="414">
        <f t="shared" ref="H875:H877" si="336">G875/C875*100</f>
        <v>-43.5083818015683</v>
      </c>
      <c r="I875" s="420">
        <f>571.1+12.6+1740+569</f>
        <v>2892.7</v>
      </c>
      <c r="J875" s="307">
        <f t="shared" si="325"/>
        <v>-6164.4</v>
      </c>
      <c r="K875" s="306">
        <f t="shared" ref="K875:K877" si="337">J875/D875*100</f>
        <v>-68.0615207958397</v>
      </c>
      <c r="M875" s="278">
        <f t="shared" si="329"/>
        <v>1070</v>
      </c>
      <c r="N875" s="415">
        <v>1070</v>
      </c>
      <c r="O875" s="415"/>
      <c r="P875" s="278">
        <v>2023</v>
      </c>
    </row>
    <row r="876" customFormat="1" ht="20" customHeight="1" spans="1:16">
      <c r="A876" s="437">
        <v>21307</v>
      </c>
      <c r="B876" s="427" t="s">
        <v>821</v>
      </c>
      <c r="C876" s="343">
        <f>SUM(C877:C882)</f>
        <v>5891.224219</v>
      </c>
      <c r="D876" s="343">
        <f t="shared" ref="D876:I876" si="338">SUM(D877:D882)</f>
        <v>5686.2649</v>
      </c>
      <c r="E876" s="343">
        <f t="shared" si="338"/>
        <v>8837</v>
      </c>
      <c r="F876" s="414">
        <f t="shared" si="335"/>
        <v>155.409572987006</v>
      </c>
      <c r="G876" s="346">
        <f t="shared" si="320"/>
        <v>2945.775781</v>
      </c>
      <c r="H876" s="414">
        <f t="shared" si="336"/>
        <v>50.0027782256101</v>
      </c>
      <c r="I876" s="343">
        <f t="shared" si="338"/>
        <v>6322.92</v>
      </c>
      <c r="J876" s="307">
        <f t="shared" si="325"/>
        <v>636.6551</v>
      </c>
      <c r="K876" s="306">
        <f t="shared" si="337"/>
        <v>11.1963672322054</v>
      </c>
      <c r="M876">
        <f t="shared" si="329"/>
        <v>0</v>
      </c>
      <c r="N876" s="415"/>
      <c r="O876" s="415"/>
    </row>
    <row r="877" s="278" customFormat="1" ht="20" customHeight="1" spans="1:16">
      <c r="A877" s="438">
        <v>2130701</v>
      </c>
      <c r="B877" s="422" t="s">
        <v>822</v>
      </c>
      <c r="C877" s="307">
        <v>400</v>
      </c>
      <c r="D877" s="343">
        <f>51+2652</f>
        <v>2703</v>
      </c>
      <c r="E877" s="307">
        <v>2582</v>
      </c>
      <c r="F877" s="414">
        <f t="shared" si="335"/>
        <v>95.5234924158343</v>
      </c>
      <c r="G877" s="346">
        <f t="shared" si="320"/>
        <v>2182</v>
      </c>
      <c r="H877" s="414">
        <f t="shared" si="336"/>
        <v>545.5</v>
      </c>
      <c r="I877" s="343">
        <f>28.74+2130</f>
        <v>2158.74</v>
      </c>
      <c r="J877" s="307">
        <f t="shared" si="325"/>
        <v>-544.26</v>
      </c>
      <c r="K877" s="306">
        <f t="shared" si="337"/>
        <v>-20.1354051054384</v>
      </c>
      <c r="M877" s="278">
        <f t="shared" si="329"/>
        <v>0</v>
      </c>
      <c r="N877" s="415"/>
      <c r="O877" s="415"/>
      <c r="P877" s="278">
        <v>2532</v>
      </c>
    </row>
    <row r="878" s="278" customFormat="1" ht="20" customHeight="1" spans="1:16">
      <c r="A878" s="438">
        <v>2130704</v>
      </c>
      <c r="B878" s="422" t="s">
        <v>823</v>
      </c>
      <c r="C878" s="307">
        <v>0</v>
      </c>
      <c r="D878" s="343"/>
      <c r="E878" s="307">
        <v>0</v>
      </c>
      <c r="F878" s="414"/>
      <c r="G878" s="346">
        <f t="shared" si="320"/>
        <v>0</v>
      </c>
      <c r="H878" s="414"/>
      <c r="I878" s="343"/>
      <c r="J878" s="307">
        <f t="shared" si="325"/>
        <v>0</v>
      </c>
      <c r="K878" s="306"/>
      <c r="M878" s="278">
        <f t="shared" si="329"/>
        <v>0</v>
      </c>
      <c r="N878" s="415"/>
      <c r="O878" s="415"/>
    </row>
    <row r="879" s="278" customFormat="1" ht="20" customHeight="1" spans="1:16">
      <c r="A879" s="438">
        <v>2130705</v>
      </c>
      <c r="B879" s="422" t="s">
        <v>824</v>
      </c>
      <c r="C879" s="307">
        <v>5428.379643</v>
      </c>
      <c r="D879" s="343">
        <v>2970.2649</v>
      </c>
      <c r="E879" s="307">
        <v>6005</v>
      </c>
      <c r="F879" s="414">
        <f t="shared" ref="F879:F883" si="339">E879/D879*100</f>
        <v>202.17052021185</v>
      </c>
      <c r="G879" s="346">
        <f t="shared" si="320"/>
        <v>576.620357</v>
      </c>
      <c r="H879" s="414">
        <f t="shared" ref="H879:H883" si="340">G879/C879*100</f>
        <v>10.6223292201673</v>
      </c>
      <c r="I879" s="343">
        <v>4145.18</v>
      </c>
      <c r="J879" s="307">
        <f t="shared" si="325"/>
        <v>1174.9151</v>
      </c>
      <c r="K879" s="306">
        <f t="shared" ref="K879:K883" si="341">J879/D879*100</f>
        <v>39.5559029095351</v>
      </c>
      <c r="M879" s="278">
        <f t="shared" si="329"/>
        <v>3825</v>
      </c>
      <c r="N879" s="415">
        <v>3825</v>
      </c>
      <c r="O879" s="415"/>
    </row>
    <row r="880" s="278" customFormat="1" ht="20" customHeight="1" spans="1:16">
      <c r="A880" s="438">
        <v>2130706</v>
      </c>
      <c r="B880" s="422" t="s">
        <v>825</v>
      </c>
      <c r="C880" s="307">
        <v>0</v>
      </c>
      <c r="D880" s="343"/>
      <c r="E880" s="307">
        <v>142</v>
      </c>
      <c r="F880" s="414"/>
      <c r="G880" s="346">
        <f t="shared" si="320"/>
        <v>142</v>
      </c>
      <c r="H880" s="414"/>
      <c r="I880" s="343"/>
      <c r="J880" s="307">
        <f t="shared" si="325"/>
        <v>0</v>
      </c>
      <c r="K880" s="306"/>
      <c r="M880" s="278">
        <f t="shared" si="329"/>
        <v>0</v>
      </c>
      <c r="N880" s="415"/>
      <c r="O880" s="415"/>
    </row>
    <row r="881" s="278" customFormat="1" ht="20" customHeight="1" spans="1:17">
      <c r="A881" s="438">
        <v>2130707</v>
      </c>
      <c r="B881" s="422" t="s">
        <v>826</v>
      </c>
      <c r="C881" s="307">
        <v>49.91</v>
      </c>
      <c r="D881" s="343"/>
      <c r="E881" s="307">
        <v>100</v>
      </c>
      <c r="F881" s="414"/>
      <c r="G881" s="346">
        <f t="shared" si="320"/>
        <v>50.09</v>
      </c>
      <c r="H881" s="414">
        <f t="shared" si="340"/>
        <v>100.360649168503</v>
      </c>
      <c r="I881" s="343"/>
      <c r="J881" s="307">
        <f t="shared" si="325"/>
        <v>0</v>
      </c>
      <c r="K881" s="306"/>
      <c r="M881" s="278">
        <f t="shared" si="329"/>
        <v>0</v>
      </c>
      <c r="N881" s="415"/>
      <c r="O881" s="415"/>
      <c r="P881" s="278">
        <v>182</v>
      </c>
      <c r="Q881" s="278">
        <v>1049</v>
      </c>
    </row>
    <row r="882" s="278" customFormat="1" ht="20" customHeight="1" spans="1:17">
      <c r="A882" s="438">
        <v>2130799</v>
      </c>
      <c r="B882" s="422" t="s">
        <v>827</v>
      </c>
      <c r="C882" s="307">
        <v>12.934576</v>
      </c>
      <c r="D882" s="343">
        <v>13</v>
      </c>
      <c r="E882" s="307">
        <v>8</v>
      </c>
      <c r="F882" s="414">
        <f t="shared" si="339"/>
        <v>61.5384615384615</v>
      </c>
      <c r="G882" s="346">
        <f t="shared" si="320"/>
        <v>-4.934576</v>
      </c>
      <c r="H882" s="414">
        <f t="shared" si="340"/>
        <v>-38.1502725717488</v>
      </c>
      <c r="I882" s="343">
        <f>5+14</f>
        <v>19</v>
      </c>
      <c r="J882" s="307">
        <f t="shared" si="325"/>
        <v>6</v>
      </c>
      <c r="K882" s="306">
        <f t="shared" si="341"/>
        <v>46.1538461538462</v>
      </c>
      <c r="M882" s="278">
        <f t="shared" si="329"/>
        <v>0</v>
      </c>
      <c r="N882" s="415"/>
      <c r="O882" s="415"/>
      <c r="P882" s="278">
        <v>14</v>
      </c>
    </row>
    <row r="883" customFormat="1" ht="20" customHeight="1" spans="1:17">
      <c r="A883" s="437">
        <v>21308</v>
      </c>
      <c r="B883" s="427" t="s">
        <v>828</v>
      </c>
      <c r="C883" s="343">
        <f>SUM(C884:C888)</f>
        <v>50.34215</v>
      </c>
      <c r="D883" s="343">
        <f t="shared" ref="D883:I883" si="342">SUM(D884:D888)</f>
        <v>744.841201</v>
      </c>
      <c r="E883" s="343">
        <f t="shared" si="342"/>
        <v>2559</v>
      </c>
      <c r="F883" s="414">
        <f t="shared" si="339"/>
        <v>343.563164412007</v>
      </c>
      <c r="G883" s="346">
        <f t="shared" si="320"/>
        <v>2508.65785</v>
      </c>
      <c r="H883" s="414">
        <f t="shared" si="340"/>
        <v>4983.21555595063</v>
      </c>
      <c r="I883" s="343">
        <f t="shared" si="342"/>
        <v>2310.29</v>
      </c>
      <c r="J883" s="307">
        <f t="shared" si="325"/>
        <v>1565.448799</v>
      </c>
      <c r="K883" s="306">
        <f t="shared" si="341"/>
        <v>210.172154399928</v>
      </c>
      <c r="M883">
        <f t="shared" si="329"/>
        <v>0</v>
      </c>
      <c r="N883" s="415"/>
      <c r="O883" s="415"/>
    </row>
    <row r="884" customFormat="1" ht="20" customHeight="1" spans="1:17">
      <c r="A884" s="438">
        <v>2130801</v>
      </c>
      <c r="B884" s="239" t="s">
        <v>829</v>
      </c>
      <c r="C884" s="343">
        <v>0</v>
      </c>
      <c r="D884" s="343"/>
      <c r="E884" s="343">
        <v>0</v>
      </c>
      <c r="F884" s="414"/>
      <c r="G884" s="346">
        <f t="shared" si="320"/>
        <v>0</v>
      </c>
      <c r="H884" s="414"/>
      <c r="I884" s="343"/>
      <c r="J884" s="307">
        <f t="shared" si="325"/>
        <v>0</v>
      </c>
      <c r="K884" s="306"/>
      <c r="M884">
        <f t="shared" si="329"/>
        <v>0</v>
      </c>
      <c r="N884" s="415"/>
      <c r="O884" s="415"/>
    </row>
    <row r="885" customFormat="1" ht="20" customHeight="1" spans="1:17">
      <c r="A885" s="438">
        <v>2130803</v>
      </c>
      <c r="B885" s="439" t="s">
        <v>830</v>
      </c>
      <c r="C885" s="343">
        <v>27</v>
      </c>
      <c r="D885" s="343">
        <v>736</v>
      </c>
      <c r="E885" s="343">
        <v>2559</v>
      </c>
      <c r="F885" s="414">
        <f>E885/D885*100</f>
        <v>347.690217391304</v>
      </c>
      <c r="G885" s="346">
        <f t="shared" si="320"/>
        <v>2532</v>
      </c>
      <c r="H885" s="414">
        <f>G885/C885*100</f>
        <v>9377.77777777778</v>
      </c>
      <c r="I885" s="343">
        <f>719.29+1591</f>
        <v>2310.29</v>
      </c>
      <c r="J885" s="307">
        <f t="shared" si="325"/>
        <v>1574.29</v>
      </c>
      <c r="K885" s="306">
        <f>J885/D885*100</f>
        <v>213.898097826087</v>
      </c>
      <c r="M885">
        <f t="shared" si="329"/>
        <v>0</v>
      </c>
      <c r="N885" s="415"/>
      <c r="O885" s="415"/>
      <c r="Q885">
        <v>3573</v>
      </c>
    </row>
    <row r="886" customFormat="1" ht="20" customHeight="1" spans="1:17">
      <c r="A886" s="438">
        <v>2130804</v>
      </c>
      <c r="B886" s="439" t="s">
        <v>831</v>
      </c>
      <c r="C886" s="343">
        <v>23.34215</v>
      </c>
      <c r="D886" s="343">
        <v>8.841201</v>
      </c>
      <c r="E886" s="343"/>
      <c r="F886" s="414">
        <f>E886/D886*100</f>
        <v>0</v>
      </c>
      <c r="G886" s="346">
        <f t="shared" si="320"/>
        <v>-23.34215</v>
      </c>
      <c r="H886" s="414">
        <f>G886/C886*100</f>
        <v>-100</v>
      </c>
      <c r="I886" s="343"/>
      <c r="J886" s="307">
        <f t="shared" si="325"/>
        <v>-8.841201</v>
      </c>
      <c r="K886" s="306">
        <f>J886/D886*100</f>
        <v>-100</v>
      </c>
      <c r="M886">
        <f t="shared" si="329"/>
        <v>0</v>
      </c>
      <c r="N886" s="415"/>
      <c r="O886" s="415"/>
      <c r="P886">
        <v>26</v>
      </c>
      <c r="Q886">
        <v>6</v>
      </c>
    </row>
    <row r="887" customFormat="1" ht="20" customHeight="1" spans="1:17">
      <c r="A887" s="438">
        <v>2130805</v>
      </c>
      <c r="B887" s="439" t="s">
        <v>832</v>
      </c>
      <c r="C887" s="343">
        <v>0</v>
      </c>
      <c r="D887" s="343"/>
      <c r="E887" s="343">
        <v>0</v>
      </c>
      <c r="F887" s="414"/>
      <c r="G887" s="346">
        <f t="shared" si="320"/>
        <v>0</v>
      </c>
      <c r="H887" s="414"/>
      <c r="I887" s="343"/>
      <c r="J887" s="307">
        <f t="shared" si="325"/>
        <v>0</v>
      </c>
      <c r="K887" s="306"/>
      <c r="M887">
        <f t="shared" si="329"/>
        <v>0</v>
      </c>
      <c r="N887" s="415"/>
      <c r="O887" s="415"/>
    </row>
    <row r="888" customFormat="1" ht="20" customHeight="1" spans="1:17">
      <c r="A888" s="438">
        <v>2130899</v>
      </c>
      <c r="B888" s="439" t="s">
        <v>833</v>
      </c>
      <c r="C888" s="343">
        <v>0</v>
      </c>
      <c r="D888" s="343"/>
      <c r="E888" s="343">
        <v>0</v>
      </c>
      <c r="F888" s="414"/>
      <c r="G888" s="346">
        <f t="shared" si="320"/>
        <v>0</v>
      </c>
      <c r="H888" s="414"/>
      <c r="I888" s="343"/>
      <c r="J888" s="307">
        <f t="shared" si="325"/>
        <v>0</v>
      </c>
      <c r="K888" s="306"/>
      <c r="M888">
        <f t="shared" si="329"/>
        <v>0</v>
      </c>
      <c r="N888" s="415"/>
      <c r="O888" s="415"/>
    </row>
    <row r="889" customFormat="1" ht="20" customHeight="1" spans="1:17">
      <c r="A889" s="437">
        <v>21309</v>
      </c>
      <c r="B889" s="427" t="s">
        <v>834</v>
      </c>
      <c r="C889" s="343">
        <v>0</v>
      </c>
      <c r="D889" s="343"/>
      <c r="E889" s="343">
        <v>0</v>
      </c>
      <c r="F889" s="414"/>
      <c r="G889" s="346">
        <f t="shared" si="320"/>
        <v>0</v>
      </c>
      <c r="H889" s="414"/>
      <c r="I889" s="343"/>
      <c r="J889" s="307">
        <f t="shared" si="325"/>
        <v>0</v>
      </c>
      <c r="K889" s="306"/>
      <c r="M889">
        <f t="shared" si="329"/>
        <v>0</v>
      </c>
      <c r="N889" s="415"/>
      <c r="O889" s="415"/>
    </row>
    <row r="890" customFormat="1" ht="20" customHeight="1" spans="1:17">
      <c r="A890" s="438">
        <v>2130901</v>
      </c>
      <c r="B890" s="239" t="s">
        <v>835</v>
      </c>
      <c r="C890" s="343">
        <v>0</v>
      </c>
      <c r="D890" s="343"/>
      <c r="E890" s="343">
        <v>0</v>
      </c>
      <c r="F890" s="414"/>
      <c r="G890" s="346">
        <f t="shared" si="320"/>
        <v>0</v>
      </c>
      <c r="H890" s="414"/>
      <c r="I890" s="343"/>
      <c r="J890" s="307">
        <f t="shared" si="325"/>
        <v>0</v>
      </c>
      <c r="K890" s="306"/>
      <c r="M890">
        <f t="shared" si="329"/>
        <v>0</v>
      </c>
      <c r="N890" s="415"/>
      <c r="O890" s="415"/>
    </row>
    <row r="891" customFormat="1" ht="20" customHeight="1" spans="1:17">
      <c r="A891" s="438">
        <v>2130999</v>
      </c>
      <c r="B891" s="239" t="s">
        <v>836</v>
      </c>
      <c r="C891" s="343">
        <v>0</v>
      </c>
      <c r="D891" s="343"/>
      <c r="E891" s="343">
        <v>0</v>
      </c>
      <c r="F891" s="414"/>
      <c r="G891" s="346">
        <f t="shared" si="320"/>
        <v>0</v>
      </c>
      <c r="H891" s="414"/>
      <c r="I891" s="343"/>
      <c r="J891" s="307">
        <f t="shared" si="325"/>
        <v>0</v>
      </c>
      <c r="K891" s="306"/>
      <c r="M891">
        <f t="shared" si="329"/>
        <v>0</v>
      </c>
      <c r="N891" s="415"/>
      <c r="O891" s="415"/>
    </row>
    <row r="892" customFormat="1" ht="20" customHeight="1" spans="1:17">
      <c r="A892" s="437">
        <v>21399</v>
      </c>
      <c r="B892" s="427" t="s">
        <v>837</v>
      </c>
      <c r="C892" s="371">
        <f>SUM(C893:C894)</f>
        <v>72.9</v>
      </c>
      <c r="D892" s="371">
        <f t="shared" ref="D892:I892" si="343">SUM(D893:D894)</f>
        <v>0</v>
      </c>
      <c r="E892" s="371">
        <f t="shared" si="343"/>
        <v>501</v>
      </c>
      <c r="F892" s="414"/>
      <c r="G892" s="346">
        <f t="shared" si="320"/>
        <v>428.1</v>
      </c>
      <c r="H892" s="414">
        <f t="shared" ref="H892:H898" si="344">G892/C892*100</f>
        <v>587.24279835391</v>
      </c>
      <c r="I892" s="371">
        <f t="shared" si="343"/>
        <v>145.51</v>
      </c>
      <c r="J892" s="307">
        <f t="shared" si="325"/>
        <v>145.51</v>
      </c>
      <c r="K892" s="306"/>
      <c r="M892">
        <f t="shared" si="329"/>
        <v>0</v>
      </c>
      <c r="N892" s="415"/>
      <c r="O892" s="415"/>
    </row>
    <row r="893" customFormat="1" ht="20" customHeight="1" spans="1:17">
      <c r="A893" s="438">
        <v>2139901</v>
      </c>
      <c r="B893" s="239" t="s">
        <v>838</v>
      </c>
      <c r="C893" s="343">
        <v>0</v>
      </c>
      <c r="D893" s="343"/>
      <c r="E893" s="343">
        <v>0</v>
      </c>
      <c r="F893" s="414"/>
      <c r="G893" s="346">
        <f t="shared" si="320"/>
        <v>0</v>
      </c>
      <c r="H893" s="414"/>
      <c r="I893" s="343"/>
      <c r="J893" s="307">
        <f t="shared" si="325"/>
        <v>0</v>
      </c>
      <c r="K893" s="306"/>
      <c r="M893">
        <f t="shared" si="329"/>
        <v>0</v>
      </c>
      <c r="N893" s="415"/>
      <c r="O893" s="415"/>
    </row>
    <row r="894" s="278" customFormat="1" ht="20" customHeight="1" spans="1:17">
      <c r="A894" s="438">
        <v>2139999</v>
      </c>
      <c r="B894" s="422" t="s">
        <v>839</v>
      </c>
      <c r="C894" s="343">
        <v>72.9</v>
      </c>
      <c r="D894" s="343"/>
      <c r="E894" s="343">
        <v>501</v>
      </c>
      <c r="F894" s="414"/>
      <c r="G894" s="346">
        <f t="shared" ref="G894:G957" si="345">E894-C894</f>
        <v>428.1</v>
      </c>
      <c r="H894" s="414">
        <f t="shared" si="344"/>
        <v>587.24279835391</v>
      </c>
      <c r="I894" s="343">
        <v>145.51</v>
      </c>
      <c r="J894" s="307">
        <f t="shared" si="325"/>
        <v>145.51</v>
      </c>
      <c r="K894" s="306"/>
      <c r="M894" s="278">
        <f t="shared" si="329"/>
        <v>0</v>
      </c>
      <c r="N894" s="415"/>
      <c r="O894" s="415"/>
    </row>
    <row r="895" s="278" customFormat="1" ht="20" customHeight="1" spans="1:17">
      <c r="A895" s="412">
        <v>214</v>
      </c>
      <c r="B895" s="413" t="s">
        <v>840</v>
      </c>
      <c r="C895" s="346">
        <f>SUM(C896:C951)/2</f>
        <v>1765.004912</v>
      </c>
      <c r="D895" s="346">
        <f t="shared" ref="D895:I895" si="346">SUM(D896:D951)/2</f>
        <v>7124.108949</v>
      </c>
      <c r="E895" s="346">
        <f t="shared" si="346"/>
        <v>2610</v>
      </c>
      <c r="F895" s="414">
        <f t="shared" ref="F895:F898" si="347">E895/D895*100</f>
        <v>36.6361606579074</v>
      </c>
      <c r="G895" s="346">
        <f t="shared" si="345"/>
        <v>844.995088</v>
      </c>
      <c r="H895" s="414">
        <f t="shared" si="344"/>
        <v>47.8749425712646</v>
      </c>
      <c r="I895" s="346">
        <f t="shared" si="346"/>
        <v>2355.626616</v>
      </c>
      <c r="J895" s="307">
        <f t="shared" si="325"/>
        <v>-4768.482333</v>
      </c>
      <c r="K895" s="306">
        <f t="shared" ref="K895:K898" si="348">J895/D895*100</f>
        <v>-66.9344386383836</v>
      </c>
      <c r="M895" s="278">
        <f t="shared" si="329"/>
        <v>0</v>
      </c>
      <c r="N895" s="415"/>
      <c r="O895" s="415"/>
    </row>
    <row r="896" customFormat="1" ht="20" customHeight="1" spans="1:17">
      <c r="A896" s="437">
        <v>21401</v>
      </c>
      <c r="B896" s="427" t="s">
        <v>841</v>
      </c>
      <c r="C896" s="343">
        <f>SUM(C897:C916)</f>
        <v>1623.75363</v>
      </c>
      <c r="D896" s="343">
        <f t="shared" ref="D896:I896" si="349">SUM(D897:D916)</f>
        <v>7124.108949</v>
      </c>
      <c r="E896" s="343">
        <f t="shared" si="349"/>
        <v>2610</v>
      </c>
      <c r="F896" s="414">
        <f t="shared" si="347"/>
        <v>36.6361606579074</v>
      </c>
      <c r="G896" s="346">
        <f t="shared" si="345"/>
        <v>986.24637</v>
      </c>
      <c r="H896" s="414">
        <f t="shared" si="344"/>
        <v>60.7386706812166</v>
      </c>
      <c r="I896" s="343">
        <f t="shared" si="349"/>
        <v>2355.626616</v>
      </c>
      <c r="J896" s="307">
        <f t="shared" si="325"/>
        <v>-4768.482333</v>
      </c>
      <c r="K896" s="306">
        <f t="shared" si="348"/>
        <v>-66.9344386383836</v>
      </c>
      <c r="M896">
        <f t="shared" si="329"/>
        <v>0</v>
      </c>
      <c r="N896" s="415"/>
      <c r="O896" s="415"/>
    </row>
    <row r="897" s="278" customFormat="1" ht="20" customHeight="1" spans="1:17">
      <c r="A897" s="438">
        <v>2140101</v>
      </c>
      <c r="B897" s="422" t="s">
        <v>731</v>
      </c>
      <c r="C897" s="343">
        <v>479.677194</v>
      </c>
      <c r="D897" s="425">
        <v>432.98264</v>
      </c>
      <c r="E897" s="343">
        <v>470</v>
      </c>
      <c r="F897" s="414">
        <f t="shared" si="347"/>
        <v>108.549386645155</v>
      </c>
      <c r="G897" s="346">
        <f t="shared" si="345"/>
        <v>-9.67719399999999</v>
      </c>
      <c r="H897" s="414">
        <f t="shared" si="344"/>
        <v>-2.01743883616864</v>
      </c>
      <c r="I897" s="420">
        <v>493</v>
      </c>
      <c r="J897" s="307">
        <f t="shared" si="325"/>
        <v>60.01736</v>
      </c>
      <c r="K897" s="306">
        <f t="shared" si="348"/>
        <v>13.8613779065138</v>
      </c>
      <c r="M897" s="278">
        <f t="shared" si="329"/>
        <v>543</v>
      </c>
      <c r="N897" s="415">
        <v>543</v>
      </c>
      <c r="O897" s="415"/>
    </row>
    <row r="898" s="278" customFormat="1" ht="20" customHeight="1" spans="1:17">
      <c r="A898" s="438">
        <v>2140102</v>
      </c>
      <c r="B898" s="422" t="s">
        <v>732</v>
      </c>
      <c r="C898" s="343">
        <v>657.9043</v>
      </c>
      <c r="D898" s="425">
        <f>630+3+3223.72+2529</f>
        <v>6385.72</v>
      </c>
      <c r="E898" s="343">
        <v>1421</v>
      </c>
      <c r="F898" s="414">
        <f t="shared" si="347"/>
        <v>22.2527765075825</v>
      </c>
      <c r="G898" s="346">
        <f t="shared" si="345"/>
        <v>763.0957</v>
      </c>
      <c r="H898" s="414">
        <f t="shared" si="344"/>
        <v>115.988860385925</v>
      </c>
      <c r="I898" s="420">
        <f>3+1061+442.02</f>
        <v>1506.02</v>
      </c>
      <c r="J898" s="307">
        <f t="shared" si="325"/>
        <v>-4879.7</v>
      </c>
      <c r="K898" s="306">
        <f t="shared" si="348"/>
        <v>-76.415815287861</v>
      </c>
      <c r="M898" s="278">
        <f t="shared" si="329"/>
        <v>0</v>
      </c>
      <c r="N898" s="415"/>
      <c r="O898" s="415"/>
      <c r="P898" s="278">
        <v>3224</v>
      </c>
      <c r="Q898" s="278">
        <v>540</v>
      </c>
    </row>
    <row r="899" s="278" customFormat="1" ht="20" customHeight="1" spans="1:17">
      <c r="A899" s="438">
        <v>2140103</v>
      </c>
      <c r="B899" s="422" t="s">
        <v>733</v>
      </c>
      <c r="C899" s="343">
        <v>0</v>
      </c>
      <c r="D899" s="343"/>
      <c r="E899" s="343"/>
      <c r="F899" s="414"/>
      <c r="G899" s="346">
        <f t="shared" si="345"/>
        <v>0</v>
      </c>
      <c r="H899" s="414"/>
      <c r="I899" s="343"/>
      <c r="J899" s="307">
        <f t="shared" si="325"/>
        <v>0</v>
      </c>
      <c r="K899" s="306"/>
      <c r="M899" s="278">
        <f t="shared" si="329"/>
        <v>0</v>
      </c>
      <c r="N899" s="415"/>
      <c r="O899" s="415"/>
    </row>
    <row r="900" s="278" customFormat="1" ht="20" customHeight="1" spans="1:17">
      <c r="A900" s="438">
        <v>2140104</v>
      </c>
      <c r="B900" s="422" t="s">
        <v>842</v>
      </c>
      <c r="C900" s="343">
        <v>0</v>
      </c>
      <c r="D900" s="343"/>
      <c r="E900" s="343">
        <v>76</v>
      </c>
      <c r="F900" s="414"/>
      <c r="G900" s="346">
        <f t="shared" si="345"/>
        <v>76</v>
      </c>
      <c r="H900" s="414"/>
      <c r="I900" s="343">
        <v>1</v>
      </c>
      <c r="J900" s="307">
        <f t="shared" si="325"/>
        <v>1</v>
      </c>
      <c r="K900" s="306"/>
      <c r="M900" s="278">
        <f t="shared" si="329"/>
        <v>0</v>
      </c>
      <c r="N900" s="415"/>
      <c r="O900" s="415"/>
    </row>
    <row r="901" s="278" customFormat="1" ht="20" customHeight="1" spans="1:17">
      <c r="A901" s="438">
        <v>2140106</v>
      </c>
      <c r="B901" s="422" t="s">
        <v>843</v>
      </c>
      <c r="C901" s="343">
        <v>136.356125</v>
      </c>
      <c r="D901" s="343"/>
      <c r="E901" s="343">
        <v>80</v>
      </c>
      <c r="F901" s="414"/>
      <c r="G901" s="346">
        <f t="shared" si="345"/>
        <v>-56.356125</v>
      </c>
      <c r="H901" s="414">
        <f>G901/C901*100</f>
        <v>-41.3301015997631</v>
      </c>
      <c r="I901" s="343">
        <v>76</v>
      </c>
      <c r="J901" s="307">
        <f t="shared" si="325"/>
        <v>76</v>
      </c>
      <c r="K901" s="306"/>
      <c r="M901" s="278">
        <f t="shared" si="329"/>
        <v>0</v>
      </c>
      <c r="N901" s="415"/>
      <c r="O901" s="415"/>
      <c r="P901" s="278">
        <v>101</v>
      </c>
      <c r="Q901" s="278">
        <v>772</v>
      </c>
    </row>
    <row r="902" s="278" customFormat="1" ht="20" customHeight="1" spans="1:17">
      <c r="A902" s="438">
        <v>2140109</v>
      </c>
      <c r="B902" s="422" t="s">
        <v>844</v>
      </c>
      <c r="C902" s="343">
        <v>0</v>
      </c>
      <c r="D902" s="343"/>
      <c r="E902" s="343"/>
      <c r="F902" s="414"/>
      <c r="G902" s="346">
        <f t="shared" si="345"/>
        <v>0</v>
      </c>
      <c r="H902" s="414"/>
      <c r="I902" s="343"/>
      <c r="J902" s="307">
        <f t="shared" ref="J902:J965" si="350">I902-D902</f>
        <v>0</v>
      </c>
      <c r="K902" s="306"/>
      <c r="M902" s="278">
        <f t="shared" si="329"/>
        <v>0</v>
      </c>
      <c r="N902" s="415"/>
      <c r="O902" s="415"/>
    </row>
    <row r="903" s="278" customFormat="1" ht="20" customHeight="1" spans="1:17">
      <c r="A903" s="438">
        <v>2140110</v>
      </c>
      <c r="B903" s="422" t="s">
        <v>845</v>
      </c>
      <c r="C903" s="343">
        <v>0</v>
      </c>
      <c r="D903" s="343"/>
      <c r="E903" s="343"/>
      <c r="F903" s="414"/>
      <c r="G903" s="346">
        <f t="shared" si="345"/>
        <v>0</v>
      </c>
      <c r="H903" s="414"/>
      <c r="I903" s="343"/>
      <c r="J903" s="307">
        <f t="shared" si="350"/>
        <v>0</v>
      </c>
      <c r="K903" s="306"/>
      <c r="M903" s="278">
        <f t="shared" si="329"/>
        <v>0</v>
      </c>
      <c r="N903" s="415"/>
      <c r="O903" s="415"/>
      <c r="P903" s="278">
        <v>10</v>
      </c>
      <c r="Q903" s="278">
        <v>10</v>
      </c>
    </row>
    <row r="904" s="278" customFormat="1" ht="20" customHeight="1" spans="1:17">
      <c r="A904" s="438">
        <v>2140112</v>
      </c>
      <c r="B904" s="422" t="s">
        <v>846</v>
      </c>
      <c r="C904" s="343">
        <v>340.802131</v>
      </c>
      <c r="D904" s="425">
        <v>296.601422</v>
      </c>
      <c r="E904" s="343">
        <v>550</v>
      </c>
      <c r="F904" s="414">
        <f>E904/D904*100</f>
        <v>185.434040164514</v>
      </c>
      <c r="G904" s="346">
        <f t="shared" si="345"/>
        <v>209.197869</v>
      </c>
      <c r="H904" s="414">
        <f>G904/C904*100</f>
        <v>61.3839674024808</v>
      </c>
      <c r="I904" s="420">
        <v>271.206734</v>
      </c>
      <c r="J904" s="307">
        <f t="shared" si="350"/>
        <v>-25.394688</v>
      </c>
      <c r="K904" s="306">
        <f>J904/D904*100</f>
        <v>-8.56189017192238</v>
      </c>
      <c r="M904" s="278">
        <f t="shared" si="329"/>
        <v>250</v>
      </c>
      <c r="N904" s="415">
        <v>250</v>
      </c>
      <c r="O904" s="415"/>
    </row>
    <row r="905" s="278" customFormat="1" ht="20" customHeight="1" spans="1:17">
      <c r="A905" s="438">
        <v>2140114</v>
      </c>
      <c r="B905" s="422" t="s">
        <v>847</v>
      </c>
      <c r="C905" s="343">
        <v>0</v>
      </c>
      <c r="D905" s="343"/>
      <c r="E905" s="343">
        <v>0</v>
      </c>
      <c r="F905" s="414"/>
      <c r="G905" s="346">
        <f t="shared" si="345"/>
        <v>0</v>
      </c>
      <c r="H905" s="414"/>
      <c r="I905" s="343"/>
      <c r="J905" s="307">
        <f t="shared" si="350"/>
        <v>0</v>
      </c>
      <c r="K905" s="306"/>
      <c r="M905" s="278">
        <f t="shared" si="329"/>
        <v>0</v>
      </c>
      <c r="N905" s="415"/>
      <c r="O905" s="415"/>
    </row>
    <row r="906" s="278" customFormat="1" ht="20" customHeight="1" spans="1:17">
      <c r="A906" s="438">
        <v>2140122</v>
      </c>
      <c r="B906" s="422" t="s">
        <v>848</v>
      </c>
      <c r="C906" s="343">
        <v>0</v>
      </c>
      <c r="D906" s="343"/>
      <c r="E906" s="343">
        <v>0</v>
      </c>
      <c r="F906" s="414"/>
      <c r="G906" s="346">
        <f t="shared" si="345"/>
        <v>0</v>
      </c>
      <c r="H906" s="414"/>
      <c r="I906" s="343"/>
      <c r="J906" s="307">
        <f t="shared" si="350"/>
        <v>0</v>
      </c>
      <c r="K906" s="306"/>
      <c r="M906" s="278">
        <f t="shared" si="329"/>
        <v>0</v>
      </c>
      <c r="N906" s="415"/>
      <c r="O906" s="415"/>
    </row>
    <row r="907" s="278" customFormat="1" ht="20" customHeight="1" spans="1:17">
      <c r="A907" s="438">
        <v>2140123</v>
      </c>
      <c r="B907" s="422" t="s">
        <v>849</v>
      </c>
      <c r="C907" s="343">
        <v>0</v>
      </c>
      <c r="D907" s="343"/>
      <c r="E907" s="343">
        <v>0</v>
      </c>
      <c r="F907" s="414"/>
      <c r="G907" s="346">
        <f t="shared" si="345"/>
        <v>0</v>
      </c>
      <c r="H907" s="414"/>
      <c r="I907" s="343"/>
      <c r="J907" s="307">
        <f t="shared" si="350"/>
        <v>0</v>
      </c>
      <c r="K907" s="306"/>
      <c r="M907" s="278">
        <f t="shared" si="329"/>
        <v>0</v>
      </c>
      <c r="N907" s="415"/>
      <c r="O907" s="415"/>
    </row>
    <row r="908" s="278" customFormat="1" ht="20" customHeight="1" spans="1:17">
      <c r="A908" s="438">
        <v>2140127</v>
      </c>
      <c r="B908" s="422" t="s">
        <v>850</v>
      </c>
      <c r="C908" s="343">
        <v>0</v>
      </c>
      <c r="D908" s="343"/>
      <c r="E908" s="343">
        <v>0</v>
      </c>
      <c r="F908" s="414"/>
      <c r="G908" s="346">
        <f t="shared" si="345"/>
        <v>0</v>
      </c>
      <c r="H908" s="414"/>
      <c r="I908" s="343"/>
      <c r="J908" s="307">
        <f t="shared" si="350"/>
        <v>0</v>
      </c>
      <c r="K908" s="306"/>
      <c r="M908" s="278">
        <f t="shared" si="329"/>
        <v>0</v>
      </c>
      <c r="N908" s="415"/>
      <c r="O908" s="415"/>
    </row>
    <row r="909" customFormat="1" ht="20" customHeight="1" spans="1:17">
      <c r="A909" s="438">
        <v>2140128</v>
      </c>
      <c r="B909" s="239" t="s">
        <v>851</v>
      </c>
      <c r="C909" s="343">
        <v>0</v>
      </c>
      <c r="D909" s="343"/>
      <c r="E909" s="343">
        <v>0</v>
      </c>
      <c r="F909" s="414"/>
      <c r="G909" s="346">
        <f t="shared" si="345"/>
        <v>0</v>
      </c>
      <c r="H909" s="414"/>
      <c r="I909" s="343"/>
      <c r="J909" s="307">
        <f t="shared" si="350"/>
        <v>0</v>
      </c>
      <c r="K909" s="306"/>
      <c r="M909">
        <f t="shared" si="329"/>
        <v>0</v>
      </c>
      <c r="N909" s="415"/>
      <c r="O909" s="415"/>
    </row>
    <row r="910" customFormat="1" ht="20" customHeight="1" spans="1:17">
      <c r="A910" s="438">
        <v>2140129</v>
      </c>
      <c r="B910" s="239" t="s">
        <v>852</v>
      </c>
      <c r="C910" s="343">
        <v>0</v>
      </c>
      <c r="D910" s="343"/>
      <c r="E910" s="343">
        <v>0</v>
      </c>
      <c r="F910" s="414"/>
      <c r="G910" s="346">
        <f t="shared" si="345"/>
        <v>0</v>
      </c>
      <c r="H910" s="414"/>
      <c r="I910" s="343"/>
      <c r="J910" s="307">
        <f t="shared" si="350"/>
        <v>0</v>
      </c>
      <c r="K910" s="306"/>
      <c r="M910">
        <f t="shared" si="329"/>
        <v>0</v>
      </c>
      <c r="N910" s="415"/>
      <c r="O910" s="415"/>
    </row>
    <row r="911" customFormat="1" ht="20" customHeight="1" spans="1:17">
      <c r="A911" s="438">
        <v>2140130</v>
      </c>
      <c r="B911" s="239" t="s">
        <v>853</v>
      </c>
      <c r="C911" s="343">
        <v>0</v>
      </c>
      <c r="D911" s="343"/>
      <c r="E911" s="343">
        <v>0</v>
      </c>
      <c r="F911" s="414"/>
      <c r="G911" s="346">
        <f t="shared" si="345"/>
        <v>0</v>
      </c>
      <c r="H911" s="414"/>
      <c r="I911" s="343"/>
      <c r="J911" s="307">
        <f t="shared" si="350"/>
        <v>0</v>
      </c>
      <c r="K911" s="306"/>
      <c r="M911">
        <f t="shared" si="329"/>
        <v>0</v>
      </c>
      <c r="N911" s="415"/>
      <c r="O911" s="415"/>
    </row>
    <row r="912" customFormat="1" ht="20" customHeight="1" spans="1:17">
      <c r="A912" s="438">
        <v>2140131</v>
      </c>
      <c r="B912" s="239" t="s">
        <v>854</v>
      </c>
      <c r="C912" s="343">
        <v>0</v>
      </c>
      <c r="D912" s="343"/>
      <c r="E912" s="343">
        <v>0</v>
      </c>
      <c r="F912" s="414"/>
      <c r="G912" s="346">
        <f t="shared" si="345"/>
        <v>0</v>
      </c>
      <c r="H912" s="414"/>
      <c r="I912" s="343"/>
      <c r="J912" s="307">
        <f t="shared" si="350"/>
        <v>0</v>
      </c>
      <c r="K912" s="306"/>
      <c r="M912">
        <f t="shared" si="329"/>
        <v>0</v>
      </c>
      <c r="N912" s="415"/>
      <c r="O912" s="415"/>
    </row>
    <row r="913" customFormat="1" ht="20" customHeight="1" spans="1:15">
      <c r="A913" s="438">
        <v>2140133</v>
      </c>
      <c r="B913" s="239" t="s">
        <v>855</v>
      </c>
      <c r="C913" s="343">
        <v>0</v>
      </c>
      <c r="D913" s="343"/>
      <c r="E913" s="343">
        <v>0</v>
      </c>
      <c r="F913" s="414"/>
      <c r="G913" s="346">
        <f t="shared" si="345"/>
        <v>0</v>
      </c>
      <c r="H913" s="414"/>
      <c r="I913" s="343"/>
      <c r="J913" s="307">
        <f t="shared" si="350"/>
        <v>0</v>
      </c>
      <c r="K913" s="306"/>
      <c r="M913">
        <f t="shared" si="329"/>
        <v>0</v>
      </c>
      <c r="N913" s="415"/>
      <c r="O913" s="415"/>
    </row>
    <row r="914" customFormat="1" ht="20" customHeight="1" spans="1:15">
      <c r="A914" s="438">
        <v>2140136</v>
      </c>
      <c r="B914" s="239" t="s">
        <v>856</v>
      </c>
      <c r="C914" s="343">
        <v>0</v>
      </c>
      <c r="D914" s="343"/>
      <c r="E914" s="343">
        <v>0</v>
      </c>
      <c r="F914" s="414"/>
      <c r="G914" s="346">
        <f t="shared" si="345"/>
        <v>0</v>
      </c>
      <c r="H914" s="414"/>
      <c r="I914" s="343"/>
      <c r="J914" s="307">
        <f t="shared" si="350"/>
        <v>0</v>
      </c>
      <c r="K914" s="306"/>
      <c r="M914">
        <f t="shared" si="329"/>
        <v>0</v>
      </c>
      <c r="N914" s="415"/>
      <c r="O914" s="415"/>
    </row>
    <row r="915" customFormat="1" ht="20" customHeight="1" spans="1:15">
      <c r="A915" s="438">
        <v>2140138</v>
      </c>
      <c r="B915" s="239" t="s">
        <v>857</v>
      </c>
      <c r="C915" s="343">
        <v>0</v>
      </c>
      <c r="D915" s="343"/>
      <c r="E915" s="343">
        <v>0</v>
      </c>
      <c r="F915" s="414"/>
      <c r="G915" s="346">
        <f t="shared" si="345"/>
        <v>0</v>
      </c>
      <c r="H915" s="414"/>
      <c r="I915" s="343"/>
      <c r="J915" s="307">
        <f t="shared" si="350"/>
        <v>0</v>
      </c>
      <c r="K915" s="306"/>
      <c r="M915">
        <f t="shared" si="329"/>
        <v>0</v>
      </c>
      <c r="N915" s="415"/>
      <c r="O915" s="415"/>
    </row>
    <row r="916" customFormat="1" ht="20" customHeight="1" spans="1:15">
      <c r="A916" s="438">
        <v>2140199</v>
      </c>
      <c r="B916" s="239" t="s">
        <v>858</v>
      </c>
      <c r="C916" s="343">
        <v>9.01388</v>
      </c>
      <c r="D916" s="425">
        <v>8.804887</v>
      </c>
      <c r="E916" s="343">
        <v>13</v>
      </c>
      <c r="F916" s="414">
        <f>E916/D916*100</f>
        <v>147.645279263663</v>
      </c>
      <c r="G916" s="346">
        <f t="shared" si="345"/>
        <v>3.98612</v>
      </c>
      <c r="H916" s="414">
        <f>G916/C916*100</f>
        <v>44.222022037125</v>
      </c>
      <c r="I916" s="420">
        <v>8.399882</v>
      </c>
      <c r="J916" s="307">
        <f t="shared" si="350"/>
        <v>-0.405005000000001</v>
      </c>
      <c r="K916" s="306">
        <f>J916/D916*100</f>
        <v>-4.5997751021677</v>
      </c>
      <c r="M916">
        <f t="shared" si="329"/>
        <v>11</v>
      </c>
      <c r="N916" s="415">
        <v>11</v>
      </c>
      <c r="O916" s="415"/>
    </row>
    <row r="917" customFormat="1" ht="20" customHeight="1" spans="1:15">
      <c r="A917" s="437">
        <v>21402</v>
      </c>
      <c r="B917" s="427" t="s">
        <v>859</v>
      </c>
      <c r="C917" s="343"/>
      <c r="D917" s="343"/>
      <c r="E917" s="343"/>
      <c r="F917" s="414"/>
      <c r="G917" s="346">
        <f t="shared" si="345"/>
        <v>0</v>
      </c>
      <c r="H917" s="414"/>
      <c r="I917" s="343"/>
      <c r="J917" s="307">
        <f t="shared" si="350"/>
        <v>0</v>
      </c>
      <c r="K917" s="306"/>
      <c r="M917">
        <f t="shared" si="329"/>
        <v>0</v>
      </c>
      <c r="N917" s="415"/>
      <c r="O917" s="415"/>
    </row>
    <row r="918" customFormat="1" ht="20" customHeight="1" spans="1:15">
      <c r="A918" s="440">
        <v>2140201</v>
      </c>
      <c r="B918" s="239" t="s">
        <v>731</v>
      </c>
      <c r="C918" s="343">
        <v>0</v>
      </c>
      <c r="D918" s="343"/>
      <c r="E918" s="343">
        <v>0</v>
      </c>
      <c r="F918" s="414"/>
      <c r="G918" s="346">
        <f t="shared" si="345"/>
        <v>0</v>
      </c>
      <c r="H918" s="414"/>
      <c r="I918" s="343"/>
      <c r="J918" s="307">
        <f t="shared" si="350"/>
        <v>0</v>
      </c>
      <c r="K918" s="306"/>
      <c r="M918">
        <f t="shared" si="329"/>
        <v>0</v>
      </c>
      <c r="N918" s="415"/>
      <c r="O918" s="415"/>
    </row>
    <row r="919" customFormat="1" ht="20" customHeight="1" spans="1:15">
      <c r="A919" s="440">
        <v>2140202</v>
      </c>
      <c r="B919" s="239" t="s">
        <v>732</v>
      </c>
      <c r="C919" s="343"/>
      <c r="D919" s="343"/>
      <c r="E919" s="343"/>
      <c r="F919" s="414"/>
      <c r="G919" s="346">
        <f t="shared" si="345"/>
        <v>0</v>
      </c>
      <c r="H919" s="414"/>
      <c r="I919" s="343"/>
      <c r="J919" s="307">
        <f t="shared" si="350"/>
        <v>0</v>
      </c>
      <c r="K919" s="306"/>
      <c r="M919">
        <f t="shared" si="329"/>
        <v>0</v>
      </c>
      <c r="N919" s="415"/>
      <c r="O919" s="415"/>
    </row>
    <row r="920" customFormat="1" ht="20" customHeight="1" spans="1:15">
      <c r="A920" s="440">
        <v>2140203</v>
      </c>
      <c r="B920" s="239" t="s">
        <v>733</v>
      </c>
      <c r="C920" s="343">
        <v>0</v>
      </c>
      <c r="D920" s="343"/>
      <c r="E920" s="343">
        <v>0</v>
      </c>
      <c r="F920" s="414"/>
      <c r="G920" s="346">
        <f t="shared" si="345"/>
        <v>0</v>
      </c>
      <c r="H920" s="414"/>
      <c r="I920" s="343"/>
      <c r="J920" s="307">
        <f t="shared" si="350"/>
        <v>0</v>
      </c>
      <c r="K920" s="306"/>
      <c r="M920">
        <f t="shared" si="329"/>
        <v>0</v>
      </c>
      <c r="N920" s="415"/>
      <c r="O920" s="415"/>
    </row>
    <row r="921" customFormat="1" ht="20" customHeight="1" spans="1:15">
      <c r="A921" s="440">
        <v>2140204</v>
      </c>
      <c r="B921" s="239" t="s">
        <v>860</v>
      </c>
      <c r="C921" s="343">
        <v>0</v>
      </c>
      <c r="D921" s="343"/>
      <c r="E921" s="343">
        <v>0</v>
      </c>
      <c r="F921" s="414"/>
      <c r="G921" s="346">
        <f t="shared" si="345"/>
        <v>0</v>
      </c>
      <c r="H921" s="414"/>
      <c r="I921" s="343"/>
      <c r="J921" s="307">
        <f t="shared" si="350"/>
        <v>0</v>
      </c>
      <c r="K921" s="306"/>
      <c r="M921">
        <f t="shared" si="329"/>
        <v>0</v>
      </c>
      <c r="N921" s="415"/>
      <c r="O921" s="415"/>
    </row>
    <row r="922" customFormat="1" ht="20" customHeight="1" spans="1:15">
      <c r="A922" s="440">
        <v>2140205</v>
      </c>
      <c r="B922" s="239" t="s">
        <v>861</v>
      </c>
      <c r="C922" s="343">
        <v>0</v>
      </c>
      <c r="D922" s="343"/>
      <c r="E922" s="343">
        <v>0</v>
      </c>
      <c r="F922" s="414"/>
      <c r="G922" s="346">
        <f t="shared" si="345"/>
        <v>0</v>
      </c>
      <c r="H922" s="414"/>
      <c r="I922" s="343"/>
      <c r="J922" s="307">
        <f t="shared" si="350"/>
        <v>0</v>
      </c>
      <c r="K922" s="306"/>
      <c r="M922">
        <f t="shared" si="329"/>
        <v>0</v>
      </c>
      <c r="N922" s="415"/>
      <c r="O922" s="415"/>
    </row>
    <row r="923" customFormat="1" ht="20" customHeight="1" spans="1:15">
      <c r="A923" s="440">
        <v>2140206</v>
      </c>
      <c r="B923" s="239" t="s">
        <v>862</v>
      </c>
      <c r="C923" s="343">
        <v>0</v>
      </c>
      <c r="D923" s="343"/>
      <c r="E923" s="343">
        <v>0</v>
      </c>
      <c r="F923" s="414"/>
      <c r="G923" s="346">
        <f t="shared" si="345"/>
        <v>0</v>
      </c>
      <c r="H923" s="414"/>
      <c r="I923" s="343"/>
      <c r="J923" s="307">
        <f t="shared" si="350"/>
        <v>0</v>
      </c>
      <c r="K923" s="306"/>
      <c r="M923">
        <f t="shared" si="329"/>
        <v>0</v>
      </c>
      <c r="N923" s="415"/>
      <c r="O923" s="415"/>
    </row>
    <row r="924" customFormat="1" ht="20" customHeight="1" spans="1:15">
      <c r="A924" s="440">
        <v>2140207</v>
      </c>
      <c r="B924" s="239" t="s">
        <v>863</v>
      </c>
      <c r="C924" s="343">
        <v>0</v>
      </c>
      <c r="D924" s="343"/>
      <c r="E924" s="343">
        <v>0</v>
      </c>
      <c r="F924" s="414"/>
      <c r="G924" s="346">
        <f t="shared" si="345"/>
        <v>0</v>
      </c>
      <c r="H924" s="414"/>
      <c r="I924" s="343"/>
      <c r="J924" s="307">
        <f t="shared" si="350"/>
        <v>0</v>
      </c>
      <c r="K924" s="306"/>
      <c r="M924">
        <f t="shared" si="329"/>
        <v>0</v>
      </c>
      <c r="N924" s="415"/>
      <c r="O924" s="415"/>
    </row>
    <row r="925" customFormat="1" ht="20" customHeight="1" spans="1:15">
      <c r="A925" s="440">
        <v>2140208</v>
      </c>
      <c r="B925" s="239" t="s">
        <v>864</v>
      </c>
      <c r="C925" s="343">
        <v>0</v>
      </c>
      <c r="D925" s="343"/>
      <c r="E925" s="343">
        <v>0</v>
      </c>
      <c r="F925" s="414"/>
      <c r="G925" s="346">
        <f t="shared" si="345"/>
        <v>0</v>
      </c>
      <c r="H925" s="414"/>
      <c r="I925" s="343"/>
      <c r="J925" s="307">
        <f t="shared" si="350"/>
        <v>0</v>
      </c>
      <c r="K925" s="306"/>
      <c r="M925">
        <f t="shared" ref="M925:M943" si="351">N925+O925</f>
        <v>0</v>
      </c>
      <c r="N925" s="415"/>
      <c r="O925" s="415"/>
    </row>
    <row r="926" customFormat="1" ht="20" customHeight="1" spans="1:15">
      <c r="A926" s="440">
        <v>2140299</v>
      </c>
      <c r="B926" s="239" t="s">
        <v>865</v>
      </c>
      <c r="C926" s="343">
        <v>0</v>
      </c>
      <c r="D926" s="343"/>
      <c r="E926" s="343">
        <v>0</v>
      </c>
      <c r="F926" s="414"/>
      <c r="G926" s="346">
        <f t="shared" si="345"/>
        <v>0</v>
      </c>
      <c r="H926" s="414"/>
      <c r="I926" s="343"/>
      <c r="J926" s="307">
        <f t="shared" si="350"/>
        <v>0</v>
      </c>
      <c r="K926" s="306"/>
      <c r="M926">
        <f t="shared" si="351"/>
        <v>0</v>
      </c>
      <c r="N926" s="415"/>
      <c r="O926" s="415"/>
    </row>
    <row r="927" customFormat="1" ht="20" customHeight="1" spans="1:15">
      <c r="A927" s="437">
        <v>21403</v>
      </c>
      <c r="B927" s="427" t="s">
        <v>866</v>
      </c>
      <c r="C927" s="343">
        <v>0</v>
      </c>
      <c r="D927" s="343"/>
      <c r="E927" s="343">
        <v>0</v>
      </c>
      <c r="F927" s="414"/>
      <c r="G927" s="346">
        <f t="shared" si="345"/>
        <v>0</v>
      </c>
      <c r="H927" s="414"/>
      <c r="I927" s="343"/>
      <c r="J927" s="307">
        <f t="shared" si="350"/>
        <v>0</v>
      </c>
      <c r="K927" s="306"/>
      <c r="M927">
        <f t="shared" si="351"/>
        <v>0</v>
      </c>
      <c r="N927" s="415"/>
      <c r="O927" s="415"/>
    </row>
    <row r="928" customFormat="1" ht="20" customHeight="1" spans="1:15">
      <c r="A928" s="440">
        <v>2140301</v>
      </c>
      <c r="B928" s="239" t="s">
        <v>731</v>
      </c>
      <c r="C928" s="343">
        <v>0</v>
      </c>
      <c r="D928" s="343"/>
      <c r="E928" s="343">
        <v>0</v>
      </c>
      <c r="F928" s="414"/>
      <c r="G928" s="346">
        <f t="shared" si="345"/>
        <v>0</v>
      </c>
      <c r="H928" s="414"/>
      <c r="I928" s="343"/>
      <c r="J928" s="307">
        <f t="shared" si="350"/>
        <v>0</v>
      </c>
      <c r="K928" s="306"/>
      <c r="M928">
        <f t="shared" si="351"/>
        <v>0</v>
      </c>
      <c r="N928" s="415"/>
      <c r="O928" s="415"/>
    </row>
    <row r="929" customFormat="1" ht="20" customHeight="1" spans="1:15">
      <c r="A929" s="440">
        <v>2140302</v>
      </c>
      <c r="B929" s="239" t="s">
        <v>732</v>
      </c>
      <c r="C929" s="343">
        <v>0</v>
      </c>
      <c r="D929" s="343"/>
      <c r="E929" s="343">
        <v>0</v>
      </c>
      <c r="F929" s="414"/>
      <c r="G929" s="346">
        <f t="shared" si="345"/>
        <v>0</v>
      </c>
      <c r="H929" s="414"/>
      <c r="I929" s="343"/>
      <c r="J929" s="307">
        <f t="shared" si="350"/>
        <v>0</v>
      </c>
      <c r="K929" s="306"/>
      <c r="M929">
        <f t="shared" si="351"/>
        <v>0</v>
      </c>
      <c r="N929" s="415"/>
      <c r="O929" s="415"/>
    </row>
    <row r="930" customFormat="1" ht="20" customHeight="1" spans="1:15">
      <c r="A930" s="440">
        <v>2140303</v>
      </c>
      <c r="B930" s="239" t="s">
        <v>733</v>
      </c>
      <c r="C930" s="343">
        <v>0</v>
      </c>
      <c r="D930" s="343"/>
      <c r="E930" s="343">
        <v>0</v>
      </c>
      <c r="F930" s="414"/>
      <c r="G930" s="346">
        <f t="shared" si="345"/>
        <v>0</v>
      </c>
      <c r="H930" s="414"/>
      <c r="I930" s="343"/>
      <c r="J930" s="307">
        <f t="shared" si="350"/>
        <v>0</v>
      </c>
      <c r="K930" s="306"/>
      <c r="M930">
        <f t="shared" si="351"/>
        <v>0</v>
      </c>
      <c r="N930" s="415"/>
      <c r="O930" s="415"/>
    </row>
    <row r="931" customFormat="1" ht="20" customHeight="1" spans="1:15">
      <c r="A931" s="440">
        <v>2140304</v>
      </c>
      <c r="B931" s="239" t="s">
        <v>867</v>
      </c>
      <c r="C931" s="343">
        <v>0</v>
      </c>
      <c r="D931" s="343"/>
      <c r="E931" s="343">
        <v>0</v>
      </c>
      <c r="F931" s="414"/>
      <c r="G931" s="346">
        <f t="shared" si="345"/>
        <v>0</v>
      </c>
      <c r="H931" s="414"/>
      <c r="I931" s="343"/>
      <c r="J931" s="307">
        <f t="shared" si="350"/>
        <v>0</v>
      </c>
      <c r="K931" s="306"/>
      <c r="M931">
        <f t="shared" si="351"/>
        <v>0</v>
      </c>
      <c r="N931" s="415"/>
      <c r="O931" s="415"/>
    </row>
    <row r="932" customFormat="1" ht="20" customHeight="1" spans="1:15">
      <c r="A932" s="440">
        <v>2140305</v>
      </c>
      <c r="B932" s="239" t="s">
        <v>868</v>
      </c>
      <c r="C932" s="343">
        <v>0</v>
      </c>
      <c r="D932" s="343"/>
      <c r="E932" s="343">
        <v>0</v>
      </c>
      <c r="F932" s="414"/>
      <c r="G932" s="346">
        <f t="shared" si="345"/>
        <v>0</v>
      </c>
      <c r="H932" s="414"/>
      <c r="I932" s="343"/>
      <c r="J932" s="307">
        <f t="shared" si="350"/>
        <v>0</v>
      </c>
      <c r="K932" s="306"/>
      <c r="M932">
        <f t="shared" si="351"/>
        <v>0</v>
      </c>
      <c r="N932" s="415"/>
      <c r="O932" s="415"/>
    </row>
    <row r="933" customFormat="1" ht="20" customHeight="1" spans="1:15">
      <c r="A933" s="440">
        <v>2140306</v>
      </c>
      <c r="B933" s="239" t="s">
        <v>869</v>
      </c>
      <c r="C933" s="343">
        <v>0</v>
      </c>
      <c r="D933" s="343"/>
      <c r="E933" s="343">
        <v>0</v>
      </c>
      <c r="F933" s="414"/>
      <c r="G933" s="346">
        <f t="shared" si="345"/>
        <v>0</v>
      </c>
      <c r="H933" s="414"/>
      <c r="I933" s="343"/>
      <c r="J933" s="307">
        <f t="shared" si="350"/>
        <v>0</v>
      </c>
      <c r="K933" s="306"/>
      <c r="M933">
        <f t="shared" si="351"/>
        <v>0</v>
      </c>
      <c r="N933" s="415"/>
      <c r="O933" s="415"/>
    </row>
    <row r="934" customFormat="1" ht="20" customHeight="1" spans="1:15">
      <c r="A934" s="440">
        <v>2140307</v>
      </c>
      <c r="B934" s="239" t="s">
        <v>870</v>
      </c>
      <c r="C934" s="343">
        <v>0</v>
      </c>
      <c r="D934" s="343"/>
      <c r="E934" s="343">
        <v>0</v>
      </c>
      <c r="F934" s="414"/>
      <c r="G934" s="346">
        <f t="shared" si="345"/>
        <v>0</v>
      </c>
      <c r="H934" s="414"/>
      <c r="I934" s="343"/>
      <c r="J934" s="307">
        <f t="shared" si="350"/>
        <v>0</v>
      </c>
      <c r="K934" s="306"/>
      <c r="M934">
        <f t="shared" si="351"/>
        <v>0</v>
      </c>
      <c r="N934" s="415"/>
      <c r="O934" s="415"/>
    </row>
    <row r="935" customFormat="1" ht="20" customHeight="1" spans="1:15">
      <c r="A935" s="440">
        <v>2140308</v>
      </c>
      <c r="B935" s="239" t="s">
        <v>871</v>
      </c>
      <c r="C935" s="343">
        <v>0</v>
      </c>
      <c r="D935" s="343"/>
      <c r="E935" s="343">
        <v>0</v>
      </c>
      <c r="F935" s="414"/>
      <c r="G935" s="346">
        <f t="shared" si="345"/>
        <v>0</v>
      </c>
      <c r="H935" s="414"/>
      <c r="I935" s="343"/>
      <c r="J935" s="307">
        <f t="shared" si="350"/>
        <v>0</v>
      </c>
      <c r="K935" s="306"/>
      <c r="M935">
        <f t="shared" si="351"/>
        <v>0</v>
      </c>
      <c r="N935" s="415"/>
      <c r="O935" s="415"/>
    </row>
    <row r="936" customFormat="1" ht="20" customHeight="1" spans="1:15">
      <c r="A936" s="440">
        <v>2140399</v>
      </c>
      <c r="B936" s="239" t="s">
        <v>872</v>
      </c>
      <c r="C936" s="343">
        <v>0</v>
      </c>
      <c r="D936" s="343"/>
      <c r="E936" s="343">
        <v>0</v>
      </c>
      <c r="F936" s="414"/>
      <c r="G936" s="346">
        <f t="shared" si="345"/>
        <v>0</v>
      </c>
      <c r="H936" s="414"/>
      <c r="I936" s="343"/>
      <c r="J936" s="307">
        <f t="shared" si="350"/>
        <v>0</v>
      </c>
      <c r="K936" s="306"/>
      <c r="M936">
        <f t="shared" si="351"/>
        <v>0</v>
      </c>
      <c r="N936" s="415"/>
      <c r="O936" s="415"/>
    </row>
    <row r="937" customFormat="1" ht="20" customHeight="1" spans="1:15">
      <c r="A937" s="437">
        <v>21405</v>
      </c>
      <c r="B937" s="427" t="s">
        <v>873</v>
      </c>
      <c r="C937" s="343">
        <v>0</v>
      </c>
      <c r="D937" s="343"/>
      <c r="E937" s="343">
        <v>0</v>
      </c>
      <c r="F937" s="414"/>
      <c r="G937" s="346">
        <f t="shared" si="345"/>
        <v>0</v>
      </c>
      <c r="H937" s="414"/>
      <c r="I937" s="343"/>
      <c r="J937" s="307">
        <f t="shared" si="350"/>
        <v>0</v>
      </c>
      <c r="K937" s="306"/>
      <c r="M937">
        <f t="shared" si="351"/>
        <v>0</v>
      </c>
      <c r="N937" s="415"/>
      <c r="O937" s="415"/>
    </row>
    <row r="938" customFormat="1" ht="20" customHeight="1" spans="1:15">
      <c r="A938" s="440">
        <v>2140501</v>
      </c>
      <c r="B938" s="239" t="s">
        <v>731</v>
      </c>
      <c r="C938" s="343">
        <v>0</v>
      </c>
      <c r="D938" s="343"/>
      <c r="E938" s="343">
        <v>0</v>
      </c>
      <c r="F938" s="414"/>
      <c r="G938" s="346">
        <f t="shared" si="345"/>
        <v>0</v>
      </c>
      <c r="H938" s="414"/>
      <c r="I938" s="343"/>
      <c r="J938" s="307">
        <f t="shared" si="350"/>
        <v>0</v>
      </c>
      <c r="K938" s="306"/>
      <c r="M938">
        <f t="shared" si="351"/>
        <v>0</v>
      </c>
      <c r="N938" s="415"/>
      <c r="O938" s="415"/>
    </row>
    <row r="939" customFormat="1" ht="20" customHeight="1" spans="1:15">
      <c r="A939" s="440">
        <v>2140502</v>
      </c>
      <c r="B939" s="239" t="s">
        <v>732</v>
      </c>
      <c r="C939" s="343">
        <v>0</v>
      </c>
      <c r="D939" s="343"/>
      <c r="E939" s="343">
        <v>0</v>
      </c>
      <c r="F939" s="414"/>
      <c r="G939" s="346">
        <f t="shared" si="345"/>
        <v>0</v>
      </c>
      <c r="H939" s="414"/>
      <c r="I939" s="343"/>
      <c r="J939" s="307">
        <f t="shared" si="350"/>
        <v>0</v>
      </c>
      <c r="K939" s="306"/>
      <c r="M939">
        <f t="shared" si="351"/>
        <v>0</v>
      </c>
      <c r="N939" s="415"/>
      <c r="O939" s="415"/>
    </row>
    <row r="940" customFormat="1" ht="20" customHeight="1" spans="1:15">
      <c r="A940" s="440">
        <v>2140503</v>
      </c>
      <c r="B940" s="239" t="s">
        <v>733</v>
      </c>
      <c r="C940" s="343">
        <v>0</v>
      </c>
      <c r="D940" s="343"/>
      <c r="E940" s="343">
        <v>0</v>
      </c>
      <c r="F940" s="414"/>
      <c r="G940" s="346">
        <f t="shared" si="345"/>
        <v>0</v>
      </c>
      <c r="H940" s="414"/>
      <c r="I940" s="343"/>
      <c r="J940" s="307">
        <f t="shared" si="350"/>
        <v>0</v>
      </c>
      <c r="K940" s="306"/>
      <c r="M940">
        <f t="shared" si="351"/>
        <v>0</v>
      </c>
      <c r="N940" s="415"/>
      <c r="O940" s="415"/>
    </row>
    <row r="941" customFormat="1" ht="20" customHeight="1" spans="1:15">
      <c r="A941" s="440">
        <v>2140504</v>
      </c>
      <c r="B941" s="239" t="s">
        <v>864</v>
      </c>
      <c r="C941" s="343">
        <v>0</v>
      </c>
      <c r="D941" s="343"/>
      <c r="E941" s="343">
        <v>0</v>
      </c>
      <c r="F941" s="414"/>
      <c r="G941" s="346">
        <f t="shared" si="345"/>
        <v>0</v>
      </c>
      <c r="H941" s="414"/>
      <c r="I941" s="343"/>
      <c r="J941" s="307">
        <f t="shared" si="350"/>
        <v>0</v>
      </c>
      <c r="K941" s="306"/>
      <c r="M941">
        <f t="shared" si="351"/>
        <v>0</v>
      </c>
      <c r="N941" s="415"/>
      <c r="O941" s="415"/>
    </row>
    <row r="942" customFormat="1" ht="20" customHeight="1" spans="1:15">
      <c r="A942" s="440">
        <v>2140505</v>
      </c>
      <c r="B942" s="239" t="s">
        <v>874</v>
      </c>
      <c r="C942" s="343">
        <v>0</v>
      </c>
      <c r="D942" s="343"/>
      <c r="E942" s="343">
        <v>0</v>
      </c>
      <c r="F942" s="414"/>
      <c r="G942" s="346">
        <f t="shared" si="345"/>
        <v>0</v>
      </c>
      <c r="H942" s="414"/>
      <c r="I942" s="343"/>
      <c r="J942" s="307">
        <f t="shared" si="350"/>
        <v>0</v>
      </c>
      <c r="K942" s="306"/>
      <c r="M942">
        <f t="shared" si="351"/>
        <v>0</v>
      </c>
      <c r="N942" s="415"/>
      <c r="O942" s="415"/>
    </row>
    <row r="943" customFormat="1" ht="20" customHeight="1" spans="1:15">
      <c r="A943" s="440">
        <v>2140599</v>
      </c>
      <c r="B943" s="239" t="s">
        <v>875</v>
      </c>
      <c r="C943" s="343">
        <v>0</v>
      </c>
      <c r="D943" s="343"/>
      <c r="E943" s="343">
        <v>0</v>
      </c>
      <c r="F943" s="414"/>
      <c r="G943" s="346">
        <f t="shared" si="345"/>
        <v>0</v>
      </c>
      <c r="H943" s="414"/>
      <c r="I943" s="343"/>
      <c r="J943" s="307">
        <f t="shared" si="350"/>
        <v>0</v>
      </c>
      <c r="K943" s="306"/>
      <c r="M943">
        <f t="shared" si="351"/>
        <v>0</v>
      </c>
      <c r="N943" s="415"/>
      <c r="O943" s="415"/>
    </row>
    <row r="944" customFormat="1" ht="20" customHeight="1" spans="1:15">
      <c r="A944" s="440">
        <v>21406</v>
      </c>
      <c r="B944" s="427" t="s">
        <v>876</v>
      </c>
      <c r="C944" s="343"/>
      <c r="D944" s="343"/>
      <c r="E944" s="343"/>
      <c r="F944" s="414"/>
      <c r="G944" s="346">
        <f t="shared" si="345"/>
        <v>0</v>
      </c>
      <c r="H944" s="414"/>
      <c r="I944" s="343"/>
      <c r="J944" s="307">
        <f t="shared" si="350"/>
        <v>0</v>
      </c>
      <c r="K944" s="306"/>
      <c r="N944" s="415"/>
      <c r="O944" s="415"/>
    </row>
    <row r="945" customFormat="1" ht="20" customHeight="1" spans="1:17">
      <c r="A945" s="440">
        <v>2140601</v>
      </c>
      <c r="B945" s="441" t="s">
        <v>877</v>
      </c>
      <c r="C945" s="343"/>
      <c r="D945" s="343"/>
      <c r="E945" s="343"/>
      <c r="F945" s="414"/>
      <c r="G945" s="346">
        <f t="shared" si="345"/>
        <v>0</v>
      </c>
      <c r="H945" s="414"/>
      <c r="I945" s="343"/>
      <c r="J945" s="307">
        <f t="shared" si="350"/>
        <v>0</v>
      </c>
      <c r="K945" s="306"/>
      <c r="N945" s="415"/>
      <c r="O945" s="415"/>
    </row>
    <row r="946" customFormat="1" ht="20" customHeight="1" spans="1:17">
      <c r="A946" s="440">
        <v>2140602</v>
      </c>
      <c r="B946" s="441" t="s">
        <v>878</v>
      </c>
      <c r="C946" s="343"/>
      <c r="D946" s="343"/>
      <c r="E946" s="343"/>
      <c r="F946" s="414"/>
      <c r="G946" s="346">
        <f t="shared" si="345"/>
        <v>0</v>
      </c>
      <c r="H946" s="414"/>
      <c r="I946" s="343"/>
      <c r="J946" s="307">
        <f t="shared" si="350"/>
        <v>0</v>
      </c>
      <c r="K946" s="306"/>
      <c r="N946" s="415"/>
      <c r="O946" s="415"/>
    </row>
    <row r="947" customFormat="1" ht="20" customHeight="1" spans="1:17">
      <c r="A947" s="440">
        <v>2140603</v>
      </c>
      <c r="B947" s="441" t="s">
        <v>879</v>
      </c>
      <c r="C947" s="343"/>
      <c r="D947" s="343"/>
      <c r="E947" s="343"/>
      <c r="F947" s="414"/>
      <c r="G947" s="346">
        <f t="shared" si="345"/>
        <v>0</v>
      </c>
      <c r="H947" s="414"/>
      <c r="I947" s="343"/>
      <c r="J947" s="307">
        <f t="shared" si="350"/>
        <v>0</v>
      </c>
      <c r="K947" s="306"/>
      <c r="N947" s="415"/>
      <c r="O947" s="415"/>
    </row>
    <row r="948" customFormat="1" ht="20" customHeight="1" spans="1:17">
      <c r="A948" s="440">
        <v>2140699</v>
      </c>
      <c r="B948" s="441" t="s">
        <v>880</v>
      </c>
      <c r="C948" s="343"/>
      <c r="D948" s="343"/>
      <c r="E948" s="343"/>
      <c r="F948" s="414"/>
      <c r="G948" s="346">
        <f t="shared" si="345"/>
        <v>0</v>
      </c>
      <c r="H948" s="414"/>
      <c r="I948" s="343"/>
      <c r="J948" s="307">
        <f t="shared" si="350"/>
        <v>0</v>
      </c>
      <c r="K948" s="306"/>
      <c r="N948" s="415"/>
      <c r="O948" s="415"/>
    </row>
    <row r="949" customFormat="1" ht="20" customHeight="1" spans="1:17">
      <c r="A949" s="437">
        <v>21499</v>
      </c>
      <c r="B949" s="427" t="s">
        <v>881</v>
      </c>
      <c r="C949" s="371">
        <f>SUM(C950:C951)</f>
        <v>141.251282</v>
      </c>
      <c r="D949" s="371">
        <f t="shared" ref="D949:I949" si="352">SUM(D950:D951)</f>
        <v>0</v>
      </c>
      <c r="E949" s="371">
        <f t="shared" si="352"/>
        <v>0</v>
      </c>
      <c r="F949" s="414"/>
      <c r="G949" s="346">
        <f t="shared" si="345"/>
        <v>-141.251282</v>
      </c>
      <c r="H949" s="414">
        <f t="shared" ref="H949:H952" si="353">G949/C949*100</f>
        <v>-100</v>
      </c>
      <c r="I949" s="371">
        <f t="shared" si="352"/>
        <v>0</v>
      </c>
      <c r="J949" s="307">
        <f t="shared" si="350"/>
        <v>0</v>
      </c>
      <c r="K949" s="306"/>
      <c r="M949">
        <f t="shared" ref="M949:M1012" si="354">N949+O949</f>
        <v>0</v>
      </c>
      <c r="N949" s="415"/>
      <c r="O949" s="415"/>
    </row>
    <row r="950" customFormat="1" ht="20" customHeight="1" spans="1:17">
      <c r="A950" s="440">
        <v>2149901</v>
      </c>
      <c r="B950" s="239" t="s">
        <v>882</v>
      </c>
      <c r="C950" s="307">
        <v>0</v>
      </c>
      <c r="D950" s="343"/>
      <c r="E950" s="307">
        <v>0</v>
      </c>
      <c r="F950" s="414"/>
      <c r="G950" s="346">
        <f t="shared" si="345"/>
        <v>0</v>
      </c>
      <c r="H950" s="414"/>
      <c r="I950" s="343"/>
      <c r="J950" s="307">
        <f t="shared" si="350"/>
        <v>0</v>
      </c>
      <c r="K950" s="306"/>
      <c r="M950">
        <f t="shared" si="354"/>
        <v>0</v>
      </c>
      <c r="N950" s="415"/>
      <c r="O950" s="415"/>
      <c r="Q950">
        <v>12</v>
      </c>
    </row>
    <row r="951" customFormat="1" ht="20" customHeight="1" spans="1:17">
      <c r="A951" s="440">
        <v>2149999</v>
      </c>
      <c r="B951" s="239" t="s">
        <v>883</v>
      </c>
      <c r="C951" s="307">
        <v>141.251282</v>
      </c>
      <c r="D951" s="343"/>
      <c r="E951" s="307"/>
      <c r="F951" s="414"/>
      <c r="G951" s="346">
        <f t="shared" si="345"/>
        <v>-141.251282</v>
      </c>
      <c r="H951" s="414">
        <f t="shared" si="353"/>
        <v>-100</v>
      </c>
      <c r="I951" s="343"/>
      <c r="J951" s="307">
        <f t="shared" si="350"/>
        <v>0</v>
      </c>
      <c r="K951" s="306"/>
      <c r="M951">
        <f t="shared" si="354"/>
        <v>0</v>
      </c>
      <c r="N951" s="415"/>
      <c r="O951" s="415"/>
      <c r="Q951">
        <v>428</v>
      </c>
    </row>
    <row r="952" s="278" customFormat="1" ht="20" customHeight="1" spans="1:17">
      <c r="A952" s="412">
        <v>215</v>
      </c>
      <c r="B952" s="413" t="s">
        <v>884</v>
      </c>
      <c r="C952" s="346">
        <f>SUM(C953:C1013)/2</f>
        <v>1792.83</v>
      </c>
      <c r="D952" s="346">
        <f t="shared" ref="D952:I952" si="355">SUM(D953:D1013)/2</f>
        <v>450</v>
      </c>
      <c r="E952" s="346">
        <f t="shared" si="355"/>
        <v>1114</v>
      </c>
      <c r="F952" s="414">
        <f>E952/D952*100</f>
        <v>247.555555555556</v>
      </c>
      <c r="G952" s="346">
        <f t="shared" si="345"/>
        <v>-678.83</v>
      </c>
      <c r="H952" s="414">
        <f t="shared" si="353"/>
        <v>-37.8636011222481</v>
      </c>
      <c r="I952" s="346">
        <f t="shared" si="355"/>
        <v>2509</v>
      </c>
      <c r="J952" s="307">
        <f t="shared" si="350"/>
        <v>2059</v>
      </c>
      <c r="K952" s="306">
        <f>J952/D952*100</f>
        <v>457.555555555556</v>
      </c>
      <c r="M952" s="278">
        <f t="shared" si="354"/>
        <v>0</v>
      </c>
      <c r="N952" s="415"/>
      <c r="O952" s="415"/>
    </row>
    <row r="953" customFormat="1" ht="20" customHeight="1" spans="1:17">
      <c r="A953" s="437">
        <v>21501</v>
      </c>
      <c r="B953" s="427" t="s">
        <v>885</v>
      </c>
      <c r="C953" s="343">
        <v>0</v>
      </c>
      <c r="D953" s="343"/>
      <c r="E953" s="343">
        <v>0</v>
      </c>
      <c r="F953" s="414"/>
      <c r="G953" s="346">
        <f t="shared" si="345"/>
        <v>0</v>
      </c>
      <c r="H953" s="414"/>
      <c r="I953" s="343">
        <f>SUM(I954:I962)</f>
        <v>2389</v>
      </c>
      <c r="J953" s="307">
        <f t="shared" si="350"/>
        <v>2389</v>
      </c>
      <c r="K953" s="306"/>
      <c r="M953">
        <f t="shared" si="354"/>
        <v>0</v>
      </c>
      <c r="N953" s="415"/>
      <c r="O953" s="415"/>
    </row>
    <row r="954" customFormat="1" ht="20" customHeight="1" spans="1:17">
      <c r="A954" s="440">
        <v>2150101</v>
      </c>
      <c r="B954" s="239" t="s">
        <v>731</v>
      </c>
      <c r="C954" s="343">
        <v>0</v>
      </c>
      <c r="D954" s="343"/>
      <c r="E954" s="343">
        <v>0</v>
      </c>
      <c r="F954" s="414"/>
      <c r="G954" s="346">
        <f t="shared" si="345"/>
        <v>0</v>
      </c>
      <c r="H954" s="414"/>
      <c r="I954" s="343"/>
      <c r="J954" s="307">
        <f t="shared" si="350"/>
        <v>0</v>
      </c>
      <c r="K954" s="306"/>
      <c r="M954">
        <f t="shared" si="354"/>
        <v>0</v>
      </c>
      <c r="N954" s="415"/>
      <c r="O954" s="415"/>
    </row>
    <row r="955" customFormat="1" ht="20" customHeight="1" spans="1:17">
      <c r="A955" s="440">
        <v>2150102</v>
      </c>
      <c r="B955" s="239" t="s">
        <v>732</v>
      </c>
      <c r="C955" s="343">
        <v>0</v>
      </c>
      <c r="D955" s="343"/>
      <c r="E955" s="343">
        <v>0</v>
      </c>
      <c r="F955" s="414"/>
      <c r="G955" s="346">
        <f t="shared" si="345"/>
        <v>0</v>
      </c>
      <c r="H955" s="414"/>
      <c r="I955" s="343"/>
      <c r="J955" s="307">
        <f t="shared" si="350"/>
        <v>0</v>
      </c>
      <c r="K955" s="306"/>
      <c r="M955">
        <f t="shared" si="354"/>
        <v>0</v>
      </c>
      <c r="N955" s="415"/>
      <c r="O955" s="415"/>
    </row>
    <row r="956" customFormat="1" ht="20" customHeight="1" spans="1:17">
      <c r="A956" s="440">
        <v>2150103</v>
      </c>
      <c r="B956" s="239" t="s">
        <v>733</v>
      </c>
      <c r="C956" s="343">
        <v>0</v>
      </c>
      <c r="D956" s="343"/>
      <c r="E956" s="343">
        <v>0</v>
      </c>
      <c r="F956" s="414"/>
      <c r="G956" s="346">
        <f t="shared" si="345"/>
        <v>0</v>
      </c>
      <c r="H956" s="414"/>
      <c r="I956" s="343"/>
      <c r="J956" s="307">
        <f t="shared" si="350"/>
        <v>0</v>
      </c>
      <c r="K956" s="306"/>
      <c r="M956">
        <f t="shared" si="354"/>
        <v>0</v>
      </c>
      <c r="N956" s="415"/>
      <c r="O956" s="415"/>
    </row>
    <row r="957" customFormat="1" ht="20" customHeight="1" spans="1:17">
      <c r="A957" s="440">
        <v>2150104</v>
      </c>
      <c r="B957" s="239" t="s">
        <v>886</v>
      </c>
      <c r="C957" s="343">
        <v>0</v>
      </c>
      <c r="D957" s="343"/>
      <c r="E957" s="343">
        <v>0</v>
      </c>
      <c r="F957" s="414"/>
      <c r="G957" s="346">
        <f t="shared" si="345"/>
        <v>0</v>
      </c>
      <c r="H957" s="414"/>
      <c r="I957" s="343"/>
      <c r="J957" s="307">
        <f t="shared" si="350"/>
        <v>0</v>
      </c>
      <c r="K957" s="306"/>
      <c r="M957">
        <f t="shared" si="354"/>
        <v>0</v>
      </c>
      <c r="N957" s="415"/>
      <c r="O957" s="415"/>
    </row>
    <row r="958" customFormat="1" ht="20" customHeight="1" spans="1:17">
      <c r="A958" s="440">
        <v>2150105</v>
      </c>
      <c r="B958" s="239" t="s">
        <v>887</v>
      </c>
      <c r="C958" s="343">
        <v>0</v>
      </c>
      <c r="D958" s="343"/>
      <c r="E958" s="343">
        <v>0</v>
      </c>
      <c r="F958" s="414"/>
      <c r="G958" s="346">
        <f t="shared" ref="G958:G1021" si="356">E958-C958</f>
        <v>0</v>
      </c>
      <c r="H958" s="414"/>
      <c r="I958" s="343"/>
      <c r="J958" s="307">
        <f t="shared" si="350"/>
        <v>0</v>
      </c>
      <c r="K958" s="306"/>
      <c r="M958">
        <f t="shared" si="354"/>
        <v>0</v>
      </c>
      <c r="N958" s="415"/>
      <c r="O958" s="415"/>
    </row>
    <row r="959" customFormat="1" ht="20" customHeight="1" spans="1:17">
      <c r="A959" s="440">
        <v>2150106</v>
      </c>
      <c r="B959" s="239" t="s">
        <v>888</v>
      </c>
      <c r="C959" s="343">
        <v>0</v>
      </c>
      <c r="D959" s="343"/>
      <c r="E959" s="343">
        <v>0</v>
      </c>
      <c r="F959" s="414"/>
      <c r="G959" s="346">
        <f t="shared" si="356"/>
        <v>0</v>
      </c>
      <c r="H959" s="414"/>
      <c r="I959" s="343"/>
      <c r="J959" s="307">
        <f t="shared" si="350"/>
        <v>0</v>
      </c>
      <c r="K959" s="306"/>
      <c r="M959">
        <f t="shared" si="354"/>
        <v>0</v>
      </c>
      <c r="N959" s="415"/>
      <c r="O959" s="415"/>
    </row>
    <row r="960" customFormat="1" ht="20" customHeight="1" spans="1:17">
      <c r="A960" s="440">
        <v>2150107</v>
      </c>
      <c r="B960" s="239" t="s">
        <v>889</v>
      </c>
      <c r="C960" s="343">
        <v>0</v>
      </c>
      <c r="D960" s="343"/>
      <c r="E960" s="343">
        <v>0</v>
      </c>
      <c r="F960" s="414"/>
      <c r="G960" s="346">
        <f t="shared" si="356"/>
        <v>0</v>
      </c>
      <c r="H960" s="414"/>
      <c r="I960" s="343"/>
      <c r="J960" s="307">
        <f t="shared" si="350"/>
        <v>0</v>
      </c>
      <c r="K960" s="306"/>
      <c r="M960">
        <f t="shared" si="354"/>
        <v>0</v>
      </c>
      <c r="N960" s="415"/>
      <c r="O960" s="415"/>
    </row>
    <row r="961" customFormat="1" ht="20" customHeight="1" spans="1:15">
      <c r="A961" s="440">
        <v>2150108</v>
      </c>
      <c r="B961" s="239" t="s">
        <v>890</v>
      </c>
      <c r="C961" s="343">
        <v>0</v>
      </c>
      <c r="D961" s="343"/>
      <c r="E961" s="343">
        <v>0</v>
      </c>
      <c r="F961" s="414"/>
      <c r="G961" s="346">
        <f t="shared" si="356"/>
        <v>0</v>
      </c>
      <c r="H961" s="414"/>
      <c r="I961" s="343"/>
      <c r="J961" s="307">
        <f t="shared" si="350"/>
        <v>0</v>
      </c>
      <c r="K961" s="306"/>
      <c r="M961">
        <f t="shared" si="354"/>
        <v>0</v>
      </c>
      <c r="N961" s="415"/>
      <c r="O961" s="415"/>
    </row>
    <row r="962" customFormat="1" ht="20" customHeight="1" spans="1:15">
      <c r="A962" s="440">
        <v>2150199</v>
      </c>
      <c r="B962" s="239" t="s">
        <v>891</v>
      </c>
      <c r="C962" s="343">
        <v>0</v>
      </c>
      <c r="D962" s="343"/>
      <c r="E962" s="343">
        <v>0</v>
      </c>
      <c r="F962" s="414"/>
      <c r="G962" s="346">
        <f t="shared" si="356"/>
        <v>0</v>
      </c>
      <c r="H962" s="414"/>
      <c r="I962" s="343">
        <f>2650-261</f>
        <v>2389</v>
      </c>
      <c r="J962" s="307">
        <f t="shared" si="350"/>
        <v>2389</v>
      </c>
      <c r="K962" s="306"/>
      <c r="M962">
        <f t="shared" si="354"/>
        <v>0</v>
      </c>
      <c r="N962" s="415"/>
      <c r="O962" s="415"/>
    </row>
    <row r="963" customFormat="1" ht="20" customHeight="1" spans="1:15">
      <c r="A963" s="437">
        <v>21502</v>
      </c>
      <c r="B963" s="427" t="s">
        <v>892</v>
      </c>
      <c r="C963" s="343">
        <f>SUM(C964:C978)</f>
        <v>1732.83</v>
      </c>
      <c r="D963" s="343">
        <f t="shared" ref="D963:I963" si="357">SUM(D964:D978)</f>
        <v>0</v>
      </c>
      <c r="E963" s="343">
        <f t="shared" si="357"/>
        <v>929</v>
      </c>
      <c r="F963" s="414"/>
      <c r="G963" s="346">
        <f t="shared" si="356"/>
        <v>-803.83</v>
      </c>
      <c r="H963" s="414">
        <f>G963/C963*100</f>
        <v>-46.3882781346122</v>
      </c>
      <c r="I963" s="343">
        <f t="shared" si="357"/>
        <v>120</v>
      </c>
      <c r="J963" s="307">
        <f t="shared" si="350"/>
        <v>120</v>
      </c>
      <c r="K963" s="306"/>
      <c r="M963">
        <f t="shared" si="354"/>
        <v>0</v>
      </c>
      <c r="N963" s="415"/>
      <c r="O963" s="415"/>
    </row>
    <row r="964" s="278" customFormat="1" ht="20" customHeight="1" spans="1:15">
      <c r="A964" s="438">
        <v>2150201</v>
      </c>
      <c r="B964" s="422" t="s">
        <v>731</v>
      </c>
      <c r="C964" s="331">
        <v>0</v>
      </c>
      <c r="D964" s="343"/>
      <c r="E964" s="331">
        <v>0</v>
      </c>
      <c r="F964" s="414"/>
      <c r="G964" s="346">
        <f t="shared" si="356"/>
        <v>0</v>
      </c>
      <c r="H964" s="414"/>
      <c r="I964" s="343"/>
      <c r="J964" s="307">
        <f t="shared" si="350"/>
        <v>0</v>
      </c>
      <c r="K964" s="306"/>
      <c r="M964" s="278">
        <f t="shared" si="354"/>
        <v>0</v>
      </c>
      <c r="N964" s="415"/>
      <c r="O964" s="415"/>
    </row>
    <row r="965" customFormat="1" ht="20" customHeight="1" spans="1:15">
      <c r="A965" s="438">
        <v>2150202</v>
      </c>
      <c r="B965" s="239" t="s">
        <v>732</v>
      </c>
      <c r="C965" s="307">
        <v>0</v>
      </c>
      <c r="D965" s="343"/>
      <c r="E965" s="307">
        <v>0</v>
      </c>
      <c r="F965" s="414"/>
      <c r="G965" s="346">
        <f t="shared" si="356"/>
        <v>0</v>
      </c>
      <c r="H965" s="414"/>
      <c r="I965" s="343"/>
      <c r="J965" s="307">
        <f t="shared" si="350"/>
        <v>0</v>
      </c>
      <c r="K965" s="306"/>
      <c r="M965">
        <f t="shared" si="354"/>
        <v>0</v>
      </c>
      <c r="N965" s="415"/>
      <c r="O965" s="415"/>
    </row>
    <row r="966" customFormat="1" ht="20" customHeight="1" spans="1:15">
      <c r="A966" s="438">
        <v>2150203</v>
      </c>
      <c r="B966" s="239" t="s">
        <v>733</v>
      </c>
      <c r="C966" s="307">
        <v>0</v>
      </c>
      <c r="D966" s="343"/>
      <c r="E966" s="307">
        <v>0</v>
      </c>
      <c r="F966" s="414"/>
      <c r="G966" s="346">
        <f t="shared" si="356"/>
        <v>0</v>
      </c>
      <c r="H966" s="414"/>
      <c r="I966" s="343"/>
      <c r="J966" s="307">
        <f t="shared" ref="J966:J1029" si="358">I966-D966</f>
        <v>0</v>
      </c>
      <c r="K966" s="306"/>
      <c r="M966">
        <f t="shared" si="354"/>
        <v>0</v>
      </c>
      <c r="N966" s="415"/>
      <c r="O966" s="415"/>
    </row>
    <row r="967" customFormat="1" ht="20" customHeight="1" spans="1:15">
      <c r="A967" s="438">
        <v>2150204</v>
      </c>
      <c r="B967" s="239" t="s">
        <v>893</v>
      </c>
      <c r="C967" s="307">
        <v>0</v>
      </c>
      <c r="D967" s="343"/>
      <c r="E967" s="307">
        <v>0</v>
      </c>
      <c r="F967" s="414"/>
      <c r="G967" s="346">
        <f t="shared" si="356"/>
        <v>0</v>
      </c>
      <c r="H967" s="414"/>
      <c r="I967" s="343"/>
      <c r="J967" s="307">
        <f t="shared" si="358"/>
        <v>0</v>
      </c>
      <c r="K967" s="306"/>
      <c r="M967">
        <f t="shared" si="354"/>
        <v>0</v>
      </c>
      <c r="N967" s="415"/>
      <c r="O967" s="415"/>
    </row>
    <row r="968" customFormat="1" ht="20" customHeight="1" spans="1:15">
      <c r="A968" s="438">
        <v>2150205</v>
      </c>
      <c r="B968" s="239" t="s">
        <v>894</v>
      </c>
      <c r="C968" s="307">
        <v>0</v>
      </c>
      <c r="D968" s="343"/>
      <c r="E968" s="307">
        <v>0</v>
      </c>
      <c r="F968" s="414"/>
      <c r="G968" s="346">
        <f t="shared" si="356"/>
        <v>0</v>
      </c>
      <c r="H968" s="414"/>
      <c r="I968" s="343"/>
      <c r="J968" s="307">
        <f t="shared" si="358"/>
        <v>0</v>
      </c>
      <c r="K968" s="306"/>
      <c r="M968">
        <f t="shared" si="354"/>
        <v>0</v>
      </c>
      <c r="N968" s="415"/>
      <c r="O968" s="415"/>
    </row>
    <row r="969" customFormat="1" ht="20" customHeight="1" spans="1:15">
      <c r="A969" s="438">
        <v>2150206</v>
      </c>
      <c r="B969" s="239" t="s">
        <v>895</v>
      </c>
      <c r="C969" s="307">
        <v>0</v>
      </c>
      <c r="D969" s="343"/>
      <c r="E969" s="307">
        <v>0</v>
      </c>
      <c r="F969" s="414"/>
      <c r="G969" s="346">
        <f t="shared" si="356"/>
        <v>0</v>
      </c>
      <c r="H969" s="414"/>
      <c r="I969" s="343"/>
      <c r="J969" s="307">
        <f t="shared" si="358"/>
        <v>0</v>
      </c>
      <c r="K969" s="306"/>
      <c r="M969">
        <f t="shared" si="354"/>
        <v>0</v>
      </c>
      <c r="N969" s="415"/>
      <c r="O969" s="415"/>
    </row>
    <row r="970" customFormat="1" ht="20" customHeight="1" spans="1:15">
      <c r="A970" s="438">
        <v>2150207</v>
      </c>
      <c r="B970" s="239" t="s">
        <v>896</v>
      </c>
      <c r="C970" s="307">
        <v>0</v>
      </c>
      <c r="D970" s="343"/>
      <c r="E970" s="307">
        <v>0</v>
      </c>
      <c r="F970" s="414"/>
      <c r="G970" s="346">
        <f t="shared" si="356"/>
        <v>0</v>
      </c>
      <c r="H970" s="414"/>
      <c r="I970" s="343"/>
      <c r="J970" s="307">
        <f t="shared" si="358"/>
        <v>0</v>
      </c>
      <c r="K970" s="306"/>
      <c r="M970">
        <f t="shared" si="354"/>
        <v>0</v>
      </c>
      <c r="N970" s="415"/>
      <c r="O970" s="415"/>
    </row>
    <row r="971" customFormat="1" ht="20" customHeight="1" spans="1:15">
      <c r="A971" s="438">
        <v>2150208</v>
      </c>
      <c r="B971" s="239" t="s">
        <v>897</v>
      </c>
      <c r="C971" s="307">
        <v>0</v>
      </c>
      <c r="D971" s="343"/>
      <c r="E971" s="307">
        <v>0</v>
      </c>
      <c r="F971" s="414"/>
      <c r="G971" s="346">
        <f t="shared" si="356"/>
        <v>0</v>
      </c>
      <c r="H971" s="414"/>
      <c r="I971" s="343"/>
      <c r="J971" s="307">
        <f t="shared" si="358"/>
        <v>0</v>
      </c>
      <c r="K971" s="306"/>
      <c r="M971">
        <f t="shared" si="354"/>
        <v>0</v>
      </c>
      <c r="N971" s="415"/>
      <c r="O971" s="415"/>
    </row>
    <row r="972" customFormat="1" ht="20" customHeight="1" spans="1:15">
      <c r="A972" s="438">
        <v>2150209</v>
      </c>
      <c r="B972" s="239" t="s">
        <v>898</v>
      </c>
      <c r="C972" s="307">
        <v>0</v>
      </c>
      <c r="D972" s="343"/>
      <c r="E972" s="307">
        <v>0</v>
      </c>
      <c r="F972" s="414"/>
      <c r="G972" s="346">
        <f t="shared" si="356"/>
        <v>0</v>
      </c>
      <c r="H972" s="414"/>
      <c r="I972" s="343"/>
      <c r="J972" s="307">
        <f t="shared" si="358"/>
        <v>0</v>
      </c>
      <c r="K972" s="306"/>
      <c r="M972">
        <f t="shared" si="354"/>
        <v>0</v>
      </c>
      <c r="N972" s="415"/>
      <c r="O972" s="415"/>
    </row>
    <row r="973" customFormat="1" ht="20" customHeight="1" spans="1:15">
      <c r="A973" s="438">
        <v>2150210</v>
      </c>
      <c r="B973" s="239" t="s">
        <v>899</v>
      </c>
      <c r="C973" s="307">
        <v>0</v>
      </c>
      <c r="D973" s="343"/>
      <c r="E973" s="307">
        <v>0</v>
      </c>
      <c r="F973" s="414"/>
      <c r="G973" s="346">
        <f t="shared" si="356"/>
        <v>0</v>
      </c>
      <c r="H973" s="414"/>
      <c r="I973" s="343"/>
      <c r="J973" s="307">
        <f t="shared" si="358"/>
        <v>0</v>
      </c>
      <c r="K973" s="306"/>
      <c r="M973">
        <f t="shared" si="354"/>
        <v>0</v>
      </c>
      <c r="N973" s="415"/>
      <c r="O973" s="415"/>
    </row>
    <row r="974" customFormat="1" ht="20" customHeight="1" spans="1:15">
      <c r="A974" s="438">
        <v>2150212</v>
      </c>
      <c r="B974" s="239" t="s">
        <v>900</v>
      </c>
      <c r="C974" s="307">
        <v>0</v>
      </c>
      <c r="D974" s="343"/>
      <c r="E974" s="307">
        <v>0</v>
      </c>
      <c r="F974" s="414"/>
      <c r="G974" s="346">
        <f t="shared" si="356"/>
        <v>0</v>
      </c>
      <c r="H974" s="414"/>
      <c r="I974" s="343"/>
      <c r="J974" s="307">
        <f t="shared" si="358"/>
        <v>0</v>
      </c>
      <c r="K974" s="306"/>
      <c r="M974">
        <f t="shared" si="354"/>
        <v>0</v>
      </c>
      <c r="N974" s="415"/>
      <c r="O974" s="415"/>
    </row>
    <row r="975" customFormat="1" ht="20" customHeight="1" spans="1:15">
      <c r="A975" s="438">
        <v>2150213</v>
      </c>
      <c r="B975" s="239" t="s">
        <v>901</v>
      </c>
      <c r="C975" s="307">
        <v>0</v>
      </c>
      <c r="D975" s="343"/>
      <c r="E975" s="307">
        <v>0</v>
      </c>
      <c r="F975" s="414"/>
      <c r="G975" s="346">
        <f t="shared" si="356"/>
        <v>0</v>
      </c>
      <c r="H975" s="414"/>
      <c r="I975" s="343"/>
      <c r="J975" s="307">
        <f t="shared" si="358"/>
        <v>0</v>
      </c>
      <c r="K975" s="306"/>
      <c r="M975">
        <f t="shared" si="354"/>
        <v>0</v>
      </c>
      <c r="N975" s="415"/>
      <c r="O975" s="415"/>
    </row>
    <row r="976" customFormat="1" ht="20" customHeight="1" spans="1:15">
      <c r="A976" s="438">
        <v>2150214</v>
      </c>
      <c r="B976" s="239" t="s">
        <v>902</v>
      </c>
      <c r="C976" s="307">
        <v>0</v>
      </c>
      <c r="D976" s="343"/>
      <c r="E976" s="307">
        <v>0</v>
      </c>
      <c r="F976" s="414"/>
      <c r="G976" s="346">
        <f t="shared" si="356"/>
        <v>0</v>
      </c>
      <c r="H976" s="414"/>
      <c r="I976" s="343"/>
      <c r="J976" s="307">
        <f t="shared" si="358"/>
        <v>0</v>
      </c>
      <c r="K976" s="306"/>
      <c r="M976">
        <f t="shared" si="354"/>
        <v>0</v>
      </c>
      <c r="N976" s="415"/>
      <c r="O976" s="415"/>
    </row>
    <row r="977" customFormat="1" ht="20" customHeight="1" spans="1:15">
      <c r="A977" s="438">
        <v>2150215</v>
      </c>
      <c r="B977" s="239" t="s">
        <v>903</v>
      </c>
      <c r="C977" s="307">
        <v>0</v>
      </c>
      <c r="D977" s="343"/>
      <c r="E977" s="307">
        <v>0</v>
      </c>
      <c r="F977" s="414"/>
      <c r="G977" s="346">
        <f t="shared" si="356"/>
        <v>0</v>
      </c>
      <c r="H977" s="414"/>
      <c r="I977" s="343"/>
      <c r="J977" s="307">
        <f t="shared" si="358"/>
        <v>0</v>
      </c>
      <c r="K977" s="306"/>
      <c r="M977">
        <f t="shared" si="354"/>
        <v>0</v>
      </c>
      <c r="N977" s="415"/>
      <c r="O977" s="415"/>
    </row>
    <row r="978" customFormat="1" ht="20" customHeight="1" spans="1:15">
      <c r="A978" s="438">
        <v>2150299</v>
      </c>
      <c r="B978" s="239" t="s">
        <v>904</v>
      </c>
      <c r="C978" s="307">
        <v>1732.83</v>
      </c>
      <c r="D978" s="343"/>
      <c r="E978" s="307">
        <v>929</v>
      </c>
      <c r="F978" s="414"/>
      <c r="G978" s="346">
        <f t="shared" si="356"/>
        <v>-803.83</v>
      </c>
      <c r="H978" s="414">
        <f>G978/C978*100</f>
        <v>-46.3882781346122</v>
      </c>
      <c r="I978" s="343">
        <v>120</v>
      </c>
      <c r="J978" s="307">
        <f t="shared" si="358"/>
        <v>120</v>
      </c>
      <c r="K978" s="306"/>
      <c r="M978">
        <f t="shared" si="354"/>
        <v>0</v>
      </c>
      <c r="N978" s="415"/>
      <c r="O978" s="415"/>
    </row>
    <row r="979" customFormat="1" ht="20" customHeight="1" spans="1:15">
      <c r="A979" s="437">
        <v>21503</v>
      </c>
      <c r="B979" s="427" t="s">
        <v>905</v>
      </c>
      <c r="C979" s="343">
        <v>0</v>
      </c>
      <c r="D979" s="343"/>
      <c r="E979" s="343">
        <v>0</v>
      </c>
      <c r="F979" s="414"/>
      <c r="G979" s="346">
        <f t="shared" si="356"/>
        <v>0</v>
      </c>
      <c r="H979" s="414"/>
      <c r="I979" s="343"/>
      <c r="J979" s="307">
        <f t="shared" si="358"/>
        <v>0</v>
      </c>
      <c r="K979" s="306"/>
      <c r="M979">
        <f t="shared" si="354"/>
        <v>0</v>
      </c>
      <c r="N979" s="415"/>
      <c r="O979" s="415"/>
    </row>
    <row r="980" customFormat="1" ht="20" customHeight="1" spans="1:15">
      <c r="A980" s="440">
        <v>2150301</v>
      </c>
      <c r="B980" s="239" t="s">
        <v>731</v>
      </c>
      <c r="C980" s="343">
        <v>0</v>
      </c>
      <c r="D980" s="343"/>
      <c r="E980" s="343">
        <v>0</v>
      </c>
      <c r="F980" s="414"/>
      <c r="G980" s="346">
        <f t="shared" si="356"/>
        <v>0</v>
      </c>
      <c r="H980" s="414"/>
      <c r="I980" s="343"/>
      <c r="J980" s="307">
        <f t="shared" si="358"/>
        <v>0</v>
      </c>
      <c r="K980" s="306"/>
      <c r="M980">
        <f t="shared" si="354"/>
        <v>0</v>
      </c>
      <c r="N980" s="415"/>
      <c r="O980" s="415"/>
    </row>
    <row r="981" customFormat="1" ht="20" customHeight="1" spans="1:15">
      <c r="A981" s="440">
        <v>2150302</v>
      </c>
      <c r="B981" s="239" t="s">
        <v>732</v>
      </c>
      <c r="C981" s="343">
        <v>0</v>
      </c>
      <c r="D981" s="343"/>
      <c r="E981" s="343">
        <v>0</v>
      </c>
      <c r="F981" s="414"/>
      <c r="G981" s="346">
        <f t="shared" si="356"/>
        <v>0</v>
      </c>
      <c r="H981" s="414"/>
      <c r="I981" s="343"/>
      <c r="J981" s="307">
        <f t="shared" si="358"/>
        <v>0</v>
      </c>
      <c r="K981" s="306"/>
      <c r="M981">
        <f t="shared" si="354"/>
        <v>0</v>
      </c>
      <c r="N981" s="415"/>
      <c r="O981" s="415"/>
    </row>
    <row r="982" customFormat="1" ht="20" customHeight="1" spans="1:15">
      <c r="A982" s="440">
        <v>2150303</v>
      </c>
      <c r="B982" s="239" t="s">
        <v>733</v>
      </c>
      <c r="C982" s="343">
        <v>0</v>
      </c>
      <c r="D982" s="343"/>
      <c r="E982" s="343">
        <v>0</v>
      </c>
      <c r="F982" s="414"/>
      <c r="G982" s="346">
        <f t="shared" si="356"/>
        <v>0</v>
      </c>
      <c r="H982" s="414"/>
      <c r="I982" s="343"/>
      <c r="J982" s="307">
        <f t="shared" si="358"/>
        <v>0</v>
      </c>
      <c r="K982" s="306"/>
      <c r="M982">
        <f t="shared" si="354"/>
        <v>0</v>
      </c>
      <c r="N982" s="415"/>
      <c r="O982" s="415"/>
    </row>
    <row r="983" customFormat="1" ht="20" customHeight="1" spans="1:15">
      <c r="A983" s="440">
        <v>2150399</v>
      </c>
      <c r="B983" s="239" t="s">
        <v>906</v>
      </c>
      <c r="C983" s="343">
        <v>0</v>
      </c>
      <c r="D983" s="343"/>
      <c r="E983" s="343">
        <v>0</v>
      </c>
      <c r="F983" s="414"/>
      <c r="G983" s="346">
        <f t="shared" si="356"/>
        <v>0</v>
      </c>
      <c r="H983" s="414"/>
      <c r="I983" s="343"/>
      <c r="J983" s="307">
        <f t="shared" si="358"/>
        <v>0</v>
      </c>
      <c r="K983" s="306"/>
      <c r="M983">
        <f t="shared" si="354"/>
        <v>0</v>
      </c>
      <c r="N983" s="415"/>
      <c r="O983" s="415"/>
    </row>
    <row r="984" customFormat="1" ht="20" customHeight="1" spans="1:15">
      <c r="A984" s="437">
        <v>21505</v>
      </c>
      <c r="B984" s="427" t="s">
        <v>907</v>
      </c>
      <c r="C984" s="343">
        <v>0</v>
      </c>
      <c r="D984" s="343"/>
      <c r="E984" s="343">
        <v>0</v>
      </c>
      <c r="F984" s="414"/>
      <c r="G984" s="346">
        <f t="shared" si="356"/>
        <v>0</v>
      </c>
      <c r="H984" s="414"/>
      <c r="I984" s="343"/>
      <c r="J984" s="307">
        <f t="shared" si="358"/>
        <v>0</v>
      </c>
      <c r="K984" s="306"/>
      <c r="M984">
        <f t="shared" si="354"/>
        <v>0</v>
      </c>
      <c r="N984" s="415"/>
      <c r="O984" s="415"/>
    </row>
    <row r="985" customFormat="1" ht="20" customHeight="1" spans="1:15">
      <c r="A985" s="440">
        <v>2150501</v>
      </c>
      <c r="B985" s="239" t="s">
        <v>731</v>
      </c>
      <c r="C985" s="307">
        <v>0</v>
      </c>
      <c r="D985" s="343"/>
      <c r="E985" s="307">
        <v>0</v>
      </c>
      <c r="F985" s="414"/>
      <c r="G985" s="346">
        <f t="shared" si="356"/>
        <v>0</v>
      </c>
      <c r="H985" s="414"/>
      <c r="I985" s="343"/>
      <c r="J985" s="307">
        <f t="shared" si="358"/>
        <v>0</v>
      </c>
      <c r="K985" s="306"/>
      <c r="M985">
        <f t="shared" si="354"/>
        <v>0</v>
      </c>
      <c r="N985" s="415"/>
      <c r="O985" s="415"/>
    </row>
    <row r="986" customFormat="1" ht="20" customHeight="1" spans="1:15">
      <c r="A986" s="440">
        <v>2150502</v>
      </c>
      <c r="B986" s="239" t="s">
        <v>732</v>
      </c>
      <c r="C986" s="307">
        <v>0</v>
      </c>
      <c r="D986" s="343"/>
      <c r="E986" s="307">
        <v>0</v>
      </c>
      <c r="F986" s="414"/>
      <c r="G986" s="346">
        <f t="shared" si="356"/>
        <v>0</v>
      </c>
      <c r="H986" s="414"/>
      <c r="I986" s="343"/>
      <c r="J986" s="307">
        <f t="shared" si="358"/>
        <v>0</v>
      </c>
      <c r="K986" s="306"/>
      <c r="M986">
        <f t="shared" si="354"/>
        <v>0</v>
      </c>
      <c r="N986" s="415"/>
      <c r="O986" s="415"/>
    </row>
    <row r="987" customFormat="1" ht="20" customHeight="1" spans="1:15">
      <c r="A987" s="440">
        <v>2150503</v>
      </c>
      <c r="B987" s="239" t="s">
        <v>733</v>
      </c>
      <c r="C987" s="307">
        <v>0</v>
      </c>
      <c r="D987" s="343"/>
      <c r="E987" s="307">
        <v>0</v>
      </c>
      <c r="F987" s="414"/>
      <c r="G987" s="346">
        <f t="shared" si="356"/>
        <v>0</v>
      </c>
      <c r="H987" s="414"/>
      <c r="I987" s="343"/>
      <c r="J987" s="307">
        <f t="shared" si="358"/>
        <v>0</v>
      </c>
      <c r="K987" s="306"/>
      <c r="M987">
        <f t="shared" si="354"/>
        <v>0</v>
      </c>
      <c r="N987" s="415"/>
      <c r="O987" s="415"/>
    </row>
    <row r="988" customFormat="1" ht="20" customHeight="1" spans="1:15">
      <c r="A988" s="440">
        <v>2150505</v>
      </c>
      <c r="B988" s="239" t="s">
        <v>908</v>
      </c>
      <c r="C988" s="307">
        <v>0</v>
      </c>
      <c r="D988" s="343"/>
      <c r="E988" s="307">
        <v>0</v>
      </c>
      <c r="F988" s="414"/>
      <c r="G988" s="346">
        <f t="shared" si="356"/>
        <v>0</v>
      </c>
      <c r="H988" s="414"/>
      <c r="I988" s="343"/>
      <c r="J988" s="307">
        <f t="shared" si="358"/>
        <v>0</v>
      </c>
      <c r="K988" s="306"/>
      <c r="M988">
        <f t="shared" si="354"/>
        <v>0</v>
      </c>
      <c r="N988" s="415"/>
      <c r="O988" s="415"/>
    </row>
    <row r="989" customFormat="1" ht="20" customHeight="1" spans="1:15">
      <c r="A989" s="440">
        <v>2150507</v>
      </c>
      <c r="B989" s="239" t="s">
        <v>909</v>
      </c>
      <c r="C989" s="307">
        <v>0</v>
      </c>
      <c r="D989" s="343"/>
      <c r="E989" s="307">
        <v>0</v>
      </c>
      <c r="F989" s="414"/>
      <c r="G989" s="346">
        <f t="shared" si="356"/>
        <v>0</v>
      </c>
      <c r="H989" s="414"/>
      <c r="I989" s="343"/>
      <c r="J989" s="307">
        <f t="shared" si="358"/>
        <v>0</v>
      </c>
      <c r="K989" s="306"/>
      <c r="M989">
        <f t="shared" si="354"/>
        <v>0</v>
      </c>
      <c r="N989" s="415"/>
      <c r="O989" s="415"/>
    </row>
    <row r="990" customFormat="1" ht="20" customHeight="1" spans="1:15">
      <c r="A990" s="440">
        <v>2150508</v>
      </c>
      <c r="B990" s="239" t="s">
        <v>910</v>
      </c>
      <c r="C990" s="307">
        <v>0</v>
      </c>
      <c r="D990" s="343"/>
      <c r="E990" s="307">
        <v>0</v>
      </c>
      <c r="F990" s="414"/>
      <c r="G990" s="346">
        <f t="shared" si="356"/>
        <v>0</v>
      </c>
      <c r="H990" s="414"/>
      <c r="I990" s="343"/>
      <c r="J990" s="307">
        <f t="shared" si="358"/>
        <v>0</v>
      </c>
      <c r="K990" s="306"/>
      <c r="M990">
        <f t="shared" si="354"/>
        <v>0</v>
      </c>
      <c r="N990" s="415"/>
      <c r="O990" s="415"/>
    </row>
    <row r="991" customFormat="1" ht="20" customHeight="1" spans="1:15">
      <c r="A991" s="440">
        <v>2150516</v>
      </c>
      <c r="B991" s="239" t="s">
        <v>911</v>
      </c>
      <c r="C991" s="307">
        <v>0</v>
      </c>
      <c r="D991" s="343"/>
      <c r="E991" s="307">
        <v>0</v>
      </c>
      <c r="F991" s="414"/>
      <c r="G991" s="346">
        <f t="shared" si="356"/>
        <v>0</v>
      </c>
      <c r="H991" s="414"/>
      <c r="I991" s="343"/>
      <c r="J991" s="307">
        <f t="shared" si="358"/>
        <v>0</v>
      </c>
      <c r="K991" s="306"/>
      <c r="M991">
        <f t="shared" si="354"/>
        <v>0</v>
      </c>
      <c r="N991" s="415"/>
      <c r="O991" s="415"/>
    </row>
    <row r="992" customFormat="1" ht="20" customHeight="1" spans="1:15">
      <c r="A992" s="440">
        <v>2150517</v>
      </c>
      <c r="B992" s="239" t="s">
        <v>912</v>
      </c>
      <c r="C992" s="307">
        <v>0</v>
      </c>
      <c r="D992" s="343"/>
      <c r="E992" s="307">
        <v>0</v>
      </c>
      <c r="F992" s="414"/>
      <c r="G992" s="346">
        <f t="shared" si="356"/>
        <v>0</v>
      </c>
      <c r="H992" s="414"/>
      <c r="I992" s="343"/>
      <c r="J992" s="307">
        <f t="shared" si="358"/>
        <v>0</v>
      </c>
      <c r="K992" s="306"/>
      <c r="M992">
        <f t="shared" si="354"/>
        <v>0</v>
      </c>
      <c r="N992" s="415"/>
      <c r="O992" s="415"/>
    </row>
    <row r="993" customFormat="1" ht="20" customHeight="1" spans="1:15">
      <c r="A993" s="440">
        <v>2150550</v>
      </c>
      <c r="B993" s="239" t="s">
        <v>750</v>
      </c>
      <c r="C993" s="307">
        <v>0</v>
      </c>
      <c r="D993" s="343"/>
      <c r="E993" s="307">
        <v>0</v>
      </c>
      <c r="F993" s="414"/>
      <c r="G993" s="346">
        <f t="shared" si="356"/>
        <v>0</v>
      </c>
      <c r="H993" s="414"/>
      <c r="I993" s="343"/>
      <c r="J993" s="307">
        <f t="shared" si="358"/>
        <v>0</v>
      </c>
      <c r="K993" s="306"/>
      <c r="M993">
        <f t="shared" si="354"/>
        <v>0</v>
      </c>
      <c r="N993" s="415"/>
      <c r="O993" s="415"/>
    </row>
    <row r="994" customFormat="1" ht="20" customHeight="1" spans="1:15">
      <c r="A994" s="440">
        <v>2150599</v>
      </c>
      <c r="B994" s="239" t="s">
        <v>913</v>
      </c>
      <c r="C994" s="307">
        <v>0</v>
      </c>
      <c r="D994" s="343"/>
      <c r="E994" s="307">
        <v>0</v>
      </c>
      <c r="F994" s="414"/>
      <c r="G994" s="346">
        <f t="shared" si="356"/>
        <v>0</v>
      </c>
      <c r="H994" s="414"/>
      <c r="I994" s="343"/>
      <c r="J994" s="307">
        <f t="shared" si="358"/>
        <v>0</v>
      </c>
      <c r="K994" s="306"/>
      <c r="M994">
        <f t="shared" si="354"/>
        <v>0</v>
      </c>
      <c r="N994" s="415"/>
      <c r="O994" s="415"/>
    </row>
    <row r="995" customFormat="1" ht="20" customHeight="1" spans="1:15">
      <c r="A995" s="437">
        <v>21507</v>
      </c>
      <c r="B995" s="427" t="s">
        <v>914</v>
      </c>
      <c r="C995" s="343">
        <v>0</v>
      </c>
      <c r="D995" s="343"/>
      <c r="E995" s="343">
        <v>0</v>
      </c>
      <c r="F995" s="414"/>
      <c r="G995" s="346">
        <f t="shared" si="356"/>
        <v>0</v>
      </c>
      <c r="H995" s="414"/>
      <c r="I995" s="343"/>
      <c r="J995" s="307">
        <f t="shared" si="358"/>
        <v>0</v>
      </c>
      <c r="K995" s="306"/>
      <c r="M995">
        <f t="shared" si="354"/>
        <v>0</v>
      </c>
      <c r="N995" s="415"/>
      <c r="O995" s="415"/>
    </row>
    <row r="996" customFormat="1" ht="20" customHeight="1" spans="1:15">
      <c r="A996" s="440">
        <v>2150701</v>
      </c>
      <c r="B996" s="239" t="s">
        <v>731</v>
      </c>
      <c r="C996" s="307">
        <v>0</v>
      </c>
      <c r="D996" s="343"/>
      <c r="E996" s="307">
        <v>0</v>
      </c>
      <c r="F996" s="414"/>
      <c r="G996" s="346">
        <f t="shared" si="356"/>
        <v>0</v>
      </c>
      <c r="H996" s="414"/>
      <c r="I996" s="343"/>
      <c r="J996" s="307">
        <f t="shared" si="358"/>
        <v>0</v>
      </c>
      <c r="K996" s="306"/>
      <c r="M996">
        <f t="shared" si="354"/>
        <v>0</v>
      </c>
      <c r="N996" s="415"/>
      <c r="O996" s="415"/>
    </row>
    <row r="997" customFormat="1" ht="20" customHeight="1" spans="1:15">
      <c r="A997" s="440">
        <v>2150702</v>
      </c>
      <c r="B997" s="239" t="s">
        <v>732</v>
      </c>
      <c r="C997" s="307">
        <v>0</v>
      </c>
      <c r="D997" s="343"/>
      <c r="E997" s="307">
        <v>0</v>
      </c>
      <c r="F997" s="414"/>
      <c r="G997" s="346">
        <f t="shared" si="356"/>
        <v>0</v>
      </c>
      <c r="H997" s="414"/>
      <c r="I997" s="343"/>
      <c r="J997" s="307">
        <f t="shared" si="358"/>
        <v>0</v>
      </c>
      <c r="K997" s="306"/>
      <c r="M997">
        <f t="shared" si="354"/>
        <v>0</v>
      </c>
      <c r="N997" s="415"/>
      <c r="O997" s="415"/>
    </row>
    <row r="998" customFormat="1" ht="20" customHeight="1" spans="1:15">
      <c r="A998" s="440">
        <v>2150703</v>
      </c>
      <c r="B998" s="239" t="s">
        <v>733</v>
      </c>
      <c r="C998" s="307">
        <v>0</v>
      </c>
      <c r="D998" s="343"/>
      <c r="E998" s="307">
        <v>0</v>
      </c>
      <c r="F998" s="414"/>
      <c r="G998" s="346">
        <f t="shared" si="356"/>
        <v>0</v>
      </c>
      <c r="H998" s="414"/>
      <c r="I998" s="343"/>
      <c r="J998" s="307">
        <f t="shared" si="358"/>
        <v>0</v>
      </c>
      <c r="K998" s="306"/>
      <c r="M998">
        <f t="shared" si="354"/>
        <v>0</v>
      </c>
      <c r="N998" s="415"/>
      <c r="O998" s="415"/>
    </row>
    <row r="999" customFormat="1" ht="20" customHeight="1" spans="1:15">
      <c r="A999" s="440">
        <v>2150704</v>
      </c>
      <c r="B999" s="239" t="s">
        <v>915</v>
      </c>
      <c r="C999" s="307">
        <v>0</v>
      </c>
      <c r="D999" s="343"/>
      <c r="E999" s="307">
        <v>0</v>
      </c>
      <c r="F999" s="414"/>
      <c r="G999" s="346">
        <f t="shared" si="356"/>
        <v>0</v>
      </c>
      <c r="H999" s="414"/>
      <c r="I999" s="343"/>
      <c r="J999" s="307">
        <f t="shared" si="358"/>
        <v>0</v>
      </c>
      <c r="K999" s="306"/>
      <c r="M999">
        <f t="shared" si="354"/>
        <v>0</v>
      </c>
      <c r="N999" s="415"/>
      <c r="O999" s="415"/>
    </row>
    <row r="1000" customFormat="1" ht="20" customHeight="1" spans="1:15">
      <c r="A1000" s="440">
        <v>2150799</v>
      </c>
      <c r="B1000" s="239" t="s">
        <v>916</v>
      </c>
      <c r="C1000" s="307">
        <v>0</v>
      </c>
      <c r="D1000" s="343"/>
      <c r="E1000" s="307">
        <v>0</v>
      </c>
      <c r="F1000" s="414"/>
      <c r="G1000" s="346">
        <f t="shared" si="356"/>
        <v>0</v>
      </c>
      <c r="H1000" s="414"/>
      <c r="I1000" s="343"/>
      <c r="J1000" s="307">
        <f t="shared" si="358"/>
        <v>0</v>
      </c>
      <c r="K1000" s="306"/>
      <c r="M1000">
        <f t="shared" si="354"/>
        <v>0</v>
      </c>
      <c r="N1000" s="415"/>
      <c r="O1000" s="415"/>
    </row>
    <row r="1001" customFormat="1" ht="20" customHeight="1" spans="1:15">
      <c r="A1001" s="437">
        <v>21508</v>
      </c>
      <c r="B1001" s="427" t="s">
        <v>917</v>
      </c>
      <c r="C1001" s="371">
        <f>SUM(C1002:C1007)</f>
        <v>30</v>
      </c>
      <c r="D1001" s="371">
        <f t="shared" ref="D1001:I1001" si="359">SUM(D1002:D1007)</f>
        <v>0</v>
      </c>
      <c r="E1001" s="371">
        <f t="shared" si="359"/>
        <v>0</v>
      </c>
      <c r="F1001" s="414"/>
      <c r="G1001" s="346">
        <f t="shared" si="356"/>
        <v>-30</v>
      </c>
      <c r="H1001" s="414">
        <f>G1001/C1001*100</f>
        <v>-100</v>
      </c>
      <c r="I1001" s="371">
        <f t="shared" si="359"/>
        <v>0</v>
      </c>
      <c r="J1001" s="307">
        <f t="shared" si="358"/>
        <v>0</v>
      </c>
      <c r="K1001" s="306"/>
      <c r="M1001">
        <f t="shared" si="354"/>
        <v>0</v>
      </c>
      <c r="N1001" s="415"/>
      <c r="O1001" s="415"/>
    </row>
    <row r="1002" customFormat="1" ht="20" customHeight="1" spans="1:15">
      <c r="A1002" s="440">
        <v>2150801</v>
      </c>
      <c r="B1002" s="239" t="s">
        <v>731</v>
      </c>
      <c r="C1002" s="343">
        <v>0</v>
      </c>
      <c r="D1002" s="343"/>
      <c r="E1002" s="343">
        <v>0</v>
      </c>
      <c r="F1002" s="414"/>
      <c r="G1002" s="346">
        <f t="shared" si="356"/>
        <v>0</v>
      </c>
      <c r="H1002" s="414"/>
      <c r="I1002" s="343"/>
      <c r="J1002" s="307">
        <f t="shared" si="358"/>
        <v>0</v>
      </c>
      <c r="K1002" s="306"/>
      <c r="M1002">
        <f t="shared" si="354"/>
        <v>0</v>
      </c>
      <c r="N1002" s="415"/>
      <c r="O1002" s="415"/>
    </row>
    <row r="1003" customFormat="1" ht="20" customHeight="1" spans="1:15">
      <c r="A1003" s="440">
        <v>2150802</v>
      </c>
      <c r="B1003" s="239" t="s">
        <v>732</v>
      </c>
      <c r="C1003" s="343">
        <v>0</v>
      </c>
      <c r="D1003" s="343"/>
      <c r="E1003" s="343">
        <v>0</v>
      </c>
      <c r="F1003" s="414"/>
      <c r="G1003" s="346">
        <f t="shared" si="356"/>
        <v>0</v>
      </c>
      <c r="H1003" s="414"/>
      <c r="I1003" s="343"/>
      <c r="J1003" s="307">
        <f t="shared" si="358"/>
        <v>0</v>
      </c>
      <c r="K1003" s="306"/>
      <c r="M1003">
        <f t="shared" si="354"/>
        <v>0</v>
      </c>
      <c r="N1003" s="415"/>
      <c r="O1003" s="415"/>
    </row>
    <row r="1004" customFormat="1" ht="20" customHeight="1" spans="1:15">
      <c r="A1004" s="440">
        <v>2150803</v>
      </c>
      <c r="B1004" s="239" t="s">
        <v>733</v>
      </c>
      <c r="C1004" s="343">
        <v>0</v>
      </c>
      <c r="D1004" s="343"/>
      <c r="E1004" s="343">
        <v>0</v>
      </c>
      <c r="F1004" s="414"/>
      <c r="G1004" s="346">
        <f t="shared" si="356"/>
        <v>0</v>
      </c>
      <c r="H1004" s="414"/>
      <c r="I1004" s="343"/>
      <c r="J1004" s="307">
        <f t="shared" si="358"/>
        <v>0</v>
      </c>
      <c r="K1004" s="306"/>
      <c r="M1004">
        <f t="shared" si="354"/>
        <v>0</v>
      </c>
      <c r="N1004" s="415"/>
      <c r="O1004" s="415"/>
    </row>
    <row r="1005" customFormat="1" ht="20" customHeight="1" spans="1:15">
      <c r="A1005" s="440">
        <v>2150804</v>
      </c>
      <c r="B1005" s="239" t="s">
        <v>918</v>
      </c>
      <c r="C1005" s="343">
        <v>0</v>
      </c>
      <c r="D1005" s="343"/>
      <c r="E1005" s="343">
        <v>0</v>
      </c>
      <c r="F1005" s="414"/>
      <c r="G1005" s="346">
        <f t="shared" si="356"/>
        <v>0</v>
      </c>
      <c r="H1005" s="414"/>
      <c r="I1005" s="343"/>
      <c r="J1005" s="307">
        <f t="shared" si="358"/>
        <v>0</v>
      </c>
      <c r="K1005" s="306"/>
      <c r="M1005">
        <f t="shared" si="354"/>
        <v>0</v>
      </c>
      <c r="N1005" s="415"/>
      <c r="O1005" s="415"/>
    </row>
    <row r="1006" customFormat="1" ht="20" customHeight="1" spans="1:15">
      <c r="A1006" s="440">
        <v>2150805</v>
      </c>
      <c r="B1006" s="239" t="s">
        <v>919</v>
      </c>
      <c r="C1006" s="343">
        <v>0</v>
      </c>
      <c r="D1006" s="343"/>
      <c r="E1006" s="343">
        <v>0</v>
      </c>
      <c r="F1006" s="414"/>
      <c r="G1006" s="346">
        <f t="shared" si="356"/>
        <v>0</v>
      </c>
      <c r="H1006" s="414"/>
      <c r="I1006" s="343"/>
      <c r="J1006" s="307">
        <f t="shared" si="358"/>
        <v>0</v>
      </c>
      <c r="K1006" s="306"/>
      <c r="M1006">
        <f t="shared" si="354"/>
        <v>0</v>
      </c>
      <c r="N1006" s="415"/>
      <c r="O1006" s="415"/>
    </row>
    <row r="1007" customFormat="1" ht="20" customHeight="1" spans="1:15">
      <c r="A1007" s="440">
        <v>2150899</v>
      </c>
      <c r="B1007" s="239" t="s">
        <v>920</v>
      </c>
      <c r="C1007" s="307">
        <v>30</v>
      </c>
      <c r="D1007" s="343"/>
      <c r="E1007" s="307"/>
      <c r="F1007" s="414"/>
      <c r="G1007" s="346">
        <f t="shared" si="356"/>
        <v>-30</v>
      </c>
      <c r="H1007" s="414">
        <f>G1007/C1007*100</f>
        <v>-100</v>
      </c>
      <c r="I1007" s="343"/>
      <c r="J1007" s="307">
        <f t="shared" si="358"/>
        <v>0</v>
      </c>
      <c r="K1007" s="306"/>
      <c r="M1007">
        <f t="shared" si="354"/>
        <v>0</v>
      </c>
      <c r="N1007" s="415"/>
      <c r="O1007" s="415"/>
    </row>
    <row r="1008" customFormat="1" ht="20" customHeight="1" spans="1:15">
      <c r="A1008" s="437">
        <v>21599</v>
      </c>
      <c r="B1008" s="427" t="s">
        <v>921</v>
      </c>
      <c r="C1008" s="371">
        <f>SUM(C1009:C1013)</f>
        <v>30</v>
      </c>
      <c r="D1008" s="371">
        <f t="shared" ref="D1008:I1008" si="360">SUM(D1009:D1013)</f>
        <v>450</v>
      </c>
      <c r="E1008" s="371">
        <f t="shared" si="360"/>
        <v>185</v>
      </c>
      <c r="F1008" s="414">
        <f>E1008/D1008*100</f>
        <v>41.1111111111111</v>
      </c>
      <c r="G1008" s="346">
        <f t="shared" si="356"/>
        <v>155</v>
      </c>
      <c r="H1008" s="414">
        <f>G1008/C1008*100</f>
        <v>516.666666666667</v>
      </c>
      <c r="I1008" s="371">
        <f t="shared" si="360"/>
        <v>0</v>
      </c>
      <c r="J1008" s="307">
        <f t="shared" si="358"/>
        <v>-450</v>
      </c>
      <c r="K1008" s="306">
        <f>J1008/D1008*100</f>
        <v>-100</v>
      </c>
      <c r="M1008">
        <f t="shared" si="354"/>
        <v>0</v>
      </c>
      <c r="N1008" s="415"/>
      <c r="O1008" s="415"/>
    </row>
    <row r="1009" customFormat="1" ht="20" customHeight="1" spans="1:17">
      <c r="A1009" s="440">
        <v>2159901</v>
      </c>
      <c r="B1009" s="239" t="s">
        <v>922</v>
      </c>
      <c r="C1009" s="343">
        <v>0</v>
      </c>
      <c r="D1009" s="343"/>
      <c r="E1009" s="343">
        <v>0</v>
      </c>
      <c r="F1009" s="414"/>
      <c r="G1009" s="346">
        <f t="shared" si="356"/>
        <v>0</v>
      </c>
      <c r="H1009" s="414"/>
      <c r="I1009" s="343"/>
      <c r="J1009" s="307">
        <f t="shared" si="358"/>
        <v>0</v>
      </c>
      <c r="K1009" s="306"/>
      <c r="M1009">
        <f t="shared" si="354"/>
        <v>0</v>
      </c>
      <c r="N1009" s="415"/>
      <c r="O1009" s="415"/>
    </row>
    <row r="1010" customFormat="1" ht="20" customHeight="1" spans="1:17">
      <c r="A1010" s="440">
        <v>2159904</v>
      </c>
      <c r="B1010" s="239" t="s">
        <v>923</v>
      </c>
      <c r="C1010" s="343">
        <v>0</v>
      </c>
      <c r="D1010" s="343"/>
      <c r="E1010" s="343">
        <v>0</v>
      </c>
      <c r="F1010" s="414"/>
      <c r="G1010" s="346">
        <f t="shared" si="356"/>
        <v>0</v>
      </c>
      <c r="H1010" s="414"/>
      <c r="I1010" s="343"/>
      <c r="J1010" s="307">
        <f t="shared" si="358"/>
        <v>0</v>
      </c>
      <c r="K1010" s="306"/>
      <c r="M1010">
        <f t="shared" si="354"/>
        <v>0</v>
      </c>
      <c r="N1010" s="415"/>
      <c r="O1010" s="415"/>
    </row>
    <row r="1011" customFormat="1" ht="20" customHeight="1" spans="1:17">
      <c r="A1011" s="440">
        <v>2159905</v>
      </c>
      <c r="B1011" s="239" t="s">
        <v>924</v>
      </c>
      <c r="C1011" s="343">
        <v>0</v>
      </c>
      <c r="D1011" s="343"/>
      <c r="E1011" s="343">
        <v>0</v>
      </c>
      <c r="F1011" s="414"/>
      <c r="G1011" s="346">
        <f t="shared" si="356"/>
        <v>0</v>
      </c>
      <c r="H1011" s="414"/>
      <c r="I1011" s="343"/>
      <c r="J1011" s="307">
        <f t="shared" si="358"/>
        <v>0</v>
      </c>
      <c r="K1011" s="306"/>
      <c r="M1011">
        <f t="shared" si="354"/>
        <v>0</v>
      </c>
      <c r="N1011" s="415"/>
      <c r="O1011" s="415"/>
    </row>
    <row r="1012" customFormat="1" ht="20" customHeight="1" spans="1:17">
      <c r="A1012" s="440">
        <v>2159906</v>
      </c>
      <c r="B1012" s="239" t="s">
        <v>925</v>
      </c>
      <c r="C1012" s="343">
        <v>0</v>
      </c>
      <c r="D1012" s="343"/>
      <c r="E1012" s="343">
        <v>0</v>
      </c>
      <c r="F1012" s="414"/>
      <c r="G1012" s="346">
        <f t="shared" si="356"/>
        <v>0</v>
      </c>
      <c r="H1012" s="414"/>
      <c r="I1012" s="343"/>
      <c r="J1012" s="307">
        <f t="shared" si="358"/>
        <v>0</v>
      </c>
      <c r="K1012" s="306"/>
      <c r="M1012">
        <f t="shared" si="354"/>
        <v>0</v>
      </c>
      <c r="N1012" s="415"/>
      <c r="O1012" s="415"/>
    </row>
    <row r="1013" customFormat="1" ht="20" customHeight="1" spans="1:17">
      <c r="A1013" s="440">
        <v>2159999</v>
      </c>
      <c r="B1013" s="239" t="s">
        <v>926</v>
      </c>
      <c r="C1013" s="343">
        <v>30</v>
      </c>
      <c r="D1013" s="343">
        <v>450</v>
      </c>
      <c r="E1013" s="343">
        <v>185</v>
      </c>
      <c r="F1013" s="414">
        <f t="shared" ref="F1013:F1016" si="361">E1013/D1013*100</f>
        <v>41.1111111111111</v>
      </c>
      <c r="G1013" s="346">
        <f t="shared" si="356"/>
        <v>155</v>
      </c>
      <c r="H1013" s="414">
        <f t="shared" ref="H1013:H1016" si="362">G1013/C1013*100</f>
        <v>516.666666666667</v>
      </c>
      <c r="I1013" s="343"/>
      <c r="J1013" s="307">
        <f t="shared" si="358"/>
        <v>-450</v>
      </c>
      <c r="K1013" s="306">
        <f t="shared" ref="K1013:K1016" si="363">J1013/D1013*100</f>
        <v>-100</v>
      </c>
      <c r="M1013">
        <f t="shared" ref="M1013:M1076" si="364">N1013+O1013</f>
        <v>0</v>
      </c>
      <c r="N1013" s="415"/>
      <c r="O1013" s="415"/>
      <c r="Q1013">
        <v>3280</v>
      </c>
    </row>
    <row r="1014" s="278" customFormat="1" ht="20" customHeight="1" spans="1:17">
      <c r="A1014" s="412">
        <v>216</v>
      </c>
      <c r="B1014" s="413" t="s">
        <v>927</v>
      </c>
      <c r="C1014" s="371">
        <f>SUM(C1015:C1033)/2</f>
        <v>138.011801</v>
      </c>
      <c r="D1014" s="371">
        <f t="shared" ref="D1014:I1014" si="365">SUM(D1015:D1033)/2</f>
        <v>119.195056</v>
      </c>
      <c r="E1014" s="371">
        <f t="shared" si="365"/>
        <v>203</v>
      </c>
      <c r="F1014" s="414">
        <f t="shared" si="361"/>
        <v>170.309077248976</v>
      </c>
      <c r="G1014" s="346">
        <f t="shared" si="356"/>
        <v>64.988199</v>
      </c>
      <c r="H1014" s="414">
        <f t="shared" si="362"/>
        <v>47.0888710451652</v>
      </c>
      <c r="I1014" s="371">
        <f t="shared" si="365"/>
        <v>125.233955</v>
      </c>
      <c r="J1014" s="307">
        <f t="shared" si="358"/>
        <v>6.038899</v>
      </c>
      <c r="K1014" s="306">
        <f t="shared" si="363"/>
        <v>5.06640057285598</v>
      </c>
      <c r="M1014" s="278">
        <f t="shared" si="364"/>
        <v>0</v>
      </c>
      <c r="N1014" s="415"/>
      <c r="O1014" s="415"/>
    </row>
    <row r="1015" customFormat="1" ht="20" customHeight="1" spans="1:17">
      <c r="A1015" s="437">
        <v>21602</v>
      </c>
      <c r="B1015" s="427" t="s">
        <v>928</v>
      </c>
      <c r="C1015" s="371">
        <f>SUM(C1016:C1024)</f>
        <v>138.011801</v>
      </c>
      <c r="D1015" s="371">
        <f t="shared" ref="D1015:I1015" si="366">SUM(D1016:D1024)</f>
        <v>119.195056</v>
      </c>
      <c r="E1015" s="371">
        <f t="shared" si="366"/>
        <v>203</v>
      </c>
      <c r="F1015" s="414">
        <f t="shared" si="361"/>
        <v>170.309077248976</v>
      </c>
      <c r="G1015" s="346">
        <f t="shared" si="356"/>
        <v>64.988199</v>
      </c>
      <c r="H1015" s="414">
        <f t="shared" si="362"/>
        <v>47.0888710451652</v>
      </c>
      <c r="I1015" s="371">
        <f t="shared" si="366"/>
        <v>125.233955</v>
      </c>
      <c r="J1015" s="307">
        <f t="shared" si="358"/>
        <v>6.038899</v>
      </c>
      <c r="K1015" s="306">
        <f t="shared" si="363"/>
        <v>5.06640057285598</v>
      </c>
      <c r="M1015">
        <f t="shared" si="364"/>
        <v>0</v>
      </c>
      <c r="N1015" s="415"/>
      <c r="O1015" s="415"/>
    </row>
    <row r="1016" s="278" customFormat="1" ht="20" customHeight="1" spans="1:17">
      <c r="A1016" s="438">
        <v>2160201</v>
      </c>
      <c r="B1016" s="422" t="s">
        <v>731</v>
      </c>
      <c r="C1016" s="343">
        <v>138.011801</v>
      </c>
      <c r="D1016" s="425">
        <v>119.195056</v>
      </c>
      <c r="E1016" s="343">
        <v>123</v>
      </c>
      <c r="F1016" s="414">
        <f t="shared" si="361"/>
        <v>103.192199515389</v>
      </c>
      <c r="G1016" s="346">
        <f t="shared" si="356"/>
        <v>-15.011801</v>
      </c>
      <c r="H1016" s="414">
        <f t="shared" si="362"/>
        <v>-10.8771865095797</v>
      </c>
      <c r="I1016" s="420">
        <v>125.233955</v>
      </c>
      <c r="J1016" s="307">
        <f t="shared" si="358"/>
        <v>6.038899</v>
      </c>
      <c r="K1016" s="306">
        <f t="shared" si="363"/>
        <v>5.06640057285598</v>
      </c>
      <c r="M1016" s="278">
        <f t="shared" si="364"/>
        <v>114</v>
      </c>
      <c r="N1016" s="415">
        <v>114</v>
      </c>
      <c r="O1016" s="415"/>
    </row>
    <row r="1017" s="278" customFormat="1" ht="20" customHeight="1" spans="1:17">
      <c r="A1017" s="438">
        <v>2160202</v>
      </c>
      <c r="B1017" s="422" t="s">
        <v>732</v>
      </c>
      <c r="C1017" s="343">
        <v>0</v>
      </c>
      <c r="D1017" s="343"/>
      <c r="E1017" s="343">
        <v>0</v>
      </c>
      <c r="F1017" s="414"/>
      <c r="G1017" s="346">
        <f t="shared" si="356"/>
        <v>0</v>
      </c>
      <c r="H1017" s="414"/>
      <c r="I1017" s="343"/>
      <c r="J1017" s="307">
        <f t="shared" si="358"/>
        <v>0</v>
      </c>
      <c r="K1017" s="306"/>
      <c r="M1017" s="278">
        <f t="shared" si="364"/>
        <v>0</v>
      </c>
      <c r="N1017" s="415"/>
      <c r="O1017" s="415"/>
    </row>
    <row r="1018" s="278" customFormat="1" ht="20" customHeight="1" spans="1:17">
      <c r="A1018" s="438">
        <v>2160203</v>
      </c>
      <c r="B1018" s="422" t="s">
        <v>733</v>
      </c>
      <c r="C1018" s="343">
        <v>0</v>
      </c>
      <c r="D1018" s="343"/>
      <c r="E1018" s="343">
        <v>0</v>
      </c>
      <c r="F1018" s="414"/>
      <c r="G1018" s="346">
        <f t="shared" si="356"/>
        <v>0</v>
      </c>
      <c r="H1018" s="414"/>
      <c r="I1018" s="343"/>
      <c r="J1018" s="307">
        <f t="shared" si="358"/>
        <v>0</v>
      </c>
      <c r="K1018" s="306"/>
      <c r="M1018" s="278">
        <f t="shared" si="364"/>
        <v>0</v>
      </c>
      <c r="N1018" s="415"/>
      <c r="O1018" s="415"/>
    </row>
    <row r="1019" s="278" customFormat="1" ht="20" customHeight="1" spans="1:17">
      <c r="A1019" s="438">
        <v>2160216</v>
      </c>
      <c r="B1019" s="422" t="s">
        <v>929</v>
      </c>
      <c r="C1019" s="343">
        <v>0</v>
      </c>
      <c r="D1019" s="343"/>
      <c r="E1019" s="343">
        <v>0</v>
      </c>
      <c r="F1019" s="414"/>
      <c r="G1019" s="346">
        <f t="shared" si="356"/>
        <v>0</v>
      </c>
      <c r="H1019" s="414"/>
      <c r="I1019" s="343"/>
      <c r="J1019" s="307">
        <f t="shared" si="358"/>
        <v>0</v>
      </c>
      <c r="K1019" s="306"/>
      <c r="M1019" s="278">
        <f t="shared" si="364"/>
        <v>0</v>
      </c>
      <c r="N1019" s="415"/>
      <c r="O1019" s="415"/>
    </row>
    <row r="1020" s="278" customFormat="1" ht="20" customHeight="1" spans="1:17">
      <c r="A1020" s="438">
        <v>2160217</v>
      </c>
      <c r="B1020" s="422" t="s">
        <v>930</v>
      </c>
      <c r="C1020" s="343">
        <v>0</v>
      </c>
      <c r="D1020" s="343"/>
      <c r="E1020" s="343">
        <v>0</v>
      </c>
      <c r="F1020" s="414"/>
      <c r="G1020" s="346">
        <f t="shared" si="356"/>
        <v>0</v>
      </c>
      <c r="H1020" s="414"/>
      <c r="I1020" s="343"/>
      <c r="J1020" s="307">
        <f t="shared" si="358"/>
        <v>0</v>
      </c>
      <c r="K1020" s="306"/>
      <c r="M1020" s="278">
        <f t="shared" si="364"/>
        <v>0</v>
      </c>
      <c r="N1020" s="415"/>
      <c r="O1020" s="415"/>
    </row>
    <row r="1021" s="278" customFormat="1" ht="20" customHeight="1" spans="1:17">
      <c r="A1021" s="438">
        <v>2160218</v>
      </c>
      <c r="B1021" s="422" t="s">
        <v>931</v>
      </c>
      <c r="C1021" s="343">
        <v>0</v>
      </c>
      <c r="D1021" s="343"/>
      <c r="E1021" s="343">
        <v>0</v>
      </c>
      <c r="F1021" s="414"/>
      <c r="G1021" s="346">
        <f t="shared" si="356"/>
        <v>0</v>
      </c>
      <c r="H1021" s="414"/>
      <c r="I1021" s="343"/>
      <c r="J1021" s="307">
        <f t="shared" si="358"/>
        <v>0</v>
      </c>
      <c r="K1021" s="306"/>
      <c r="M1021" s="278">
        <f t="shared" si="364"/>
        <v>0</v>
      </c>
      <c r="N1021" s="415"/>
      <c r="O1021" s="415"/>
    </row>
    <row r="1022" s="278" customFormat="1" ht="20" customHeight="1" spans="1:17">
      <c r="A1022" s="438">
        <v>2160219</v>
      </c>
      <c r="B1022" s="422" t="s">
        <v>932</v>
      </c>
      <c r="C1022" s="343">
        <v>0</v>
      </c>
      <c r="D1022" s="343"/>
      <c r="E1022" s="343">
        <v>80</v>
      </c>
      <c r="F1022" s="414"/>
      <c r="G1022" s="346">
        <f t="shared" ref="G1022:G1085" si="367">E1022-C1022</f>
        <v>80</v>
      </c>
      <c r="H1022" s="414"/>
      <c r="I1022" s="343"/>
      <c r="J1022" s="307">
        <f t="shared" si="358"/>
        <v>0</v>
      </c>
      <c r="K1022" s="306"/>
      <c r="M1022" s="278">
        <f t="shared" si="364"/>
        <v>0</v>
      </c>
      <c r="N1022" s="415"/>
      <c r="O1022" s="415"/>
    </row>
    <row r="1023" s="278" customFormat="1" ht="20" customHeight="1" spans="1:17">
      <c r="A1023" s="438">
        <v>2160250</v>
      </c>
      <c r="B1023" s="422" t="s">
        <v>750</v>
      </c>
      <c r="C1023" s="343">
        <v>0</v>
      </c>
      <c r="D1023" s="343"/>
      <c r="E1023" s="343">
        <v>0</v>
      </c>
      <c r="F1023" s="414"/>
      <c r="G1023" s="346">
        <f t="shared" si="367"/>
        <v>0</v>
      </c>
      <c r="H1023" s="414"/>
      <c r="I1023" s="343"/>
      <c r="J1023" s="307">
        <f t="shared" si="358"/>
        <v>0</v>
      </c>
      <c r="K1023" s="306"/>
      <c r="M1023" s="278">
        <f t="shared" si="364"/>
        <v>0</v>
      </c>
      <c r="N1023" s="415"/>
      <c r="O1023" s="415"/>
    </row>
    <row r="1024" s="278" customFormat="1" ht="20" customHeight="1" spans="1:17">
      <c r="A1024" s="438">
        <v>2160299</v>
      </c>
      <c r="B1024" s="422" t="s">
        <v>933</v>
      </c>
      <c r="C1024" s="343">
        <v>0</v>
      </c>
      <c r="D1024" s="343"/>
      <c r="E1024" s="343">
        <v>0</v>
      </c>
      <c r="F1024" s="414"/>
      <c r="G1024" s="346">
        <f t="shared" si="367"/>
        <v>0</v>
      </c>
      <c r="H1024" s="414"/>
      <c r="I1024" s="343"/>
      <c r="J1024" s="307">
        <f t="shared" si="358"/>
        <v>0</v>
      </c>
      <c r="K1024" s="306"/>
      <c r="M1024" s="278">
        <f t="shared" si="364"/>
        <v>0</v>
      </c>
      <c r="N1024" s="415"/>
      <c r="O1024" s="415"/>
    </row>
    <row r="1025" customFormat="1" ht="20" customHeight="1" spans="1:17">
      <c r="A1025" s="437">
        <v>21606</v>
      </c>
      <c r="B1025" s="427" t="s">
        <v>934</v>
      </c>
      <c r="C1025" s="343">
        <v>0</v>
      </c>
      <c r="D1025" s="343"/>
      <c r="E1025" s="343">
        <v>0</v>
      </c>
      <c r="F1025" s="414"/>
      <c r="G1025" s="346">
        <f t="shared" si="367"/>
        <v>0</v>
      </c>
      <c r="H1025" s="414"/>
      <c r="I1025" s="343"/>
      <c r="J1025" s="307">
        <f t="shared" si="358"/>
        <v>0</v>
      </c>
      <c r="K1025" s="306"/>
      <c r="M1025">
        <f t="shared" si="364"/>
        <v>0</v>
      </c>
      <c r="N1025" s="415"/>
      <c r="O1025" s="415"/>
    </row>
    <row r="1026" customFormat="1" ht="20" customHeight="1" spans="1:17">
      <c r="A1026" s="440">
        <v>2160601</v>
      </c>
      <c r="B1026" s="239" t="s">
        <v>731</v>
      </c>
      <c r="C1026" s="343">
        <v>0</v>
      </c>
      <c r="D1026" s="343"/>
      <c r="E1026" s="343">
        <v>0</v>
      </c>
      <c r="F1026" s="414"/>
      <c r="G1026" s="346">
        <f t="shared" si="367"/>
        <v>0</v>
      </c>
      <c r="H1026" s="414"/>
      <c r="I1026" s="343"/>
      <c r="J1026" s="307">
        <f t="shared" si="358"/>
        <v>0</v>
      </c>
      <c r="K1026" s="306"/>
      <c r="M1026">
        <f t="shared" si="364"/>
        <v>0</v>
      </c>
      <c r="N1026" s="415"/>
      <c r="O1026" s="415"/>
    </row>
    <row r="1027" customFormat="1" ht="20" customHeight="1" spans="1:17">
      <c r="A1027" s="440">
        <v>2160602</v>
      </c>
      <c r="B1027" s="239" t="s">
        <v>732</v>
      </c>
      <c r="C1027" s="343">
        <v>0</v>
      </c>
      <c r="D1027" s="343"/>
      <c r="E1027" s="343">
        <v>0</v>
      </c>
      <c r="F1027" s="414"/>
      <c r="G1027" s="346">
        <f t="shared" si="367"/>
        <v>0</v>
      </c>
      <c r="H1027" s="414"/>
      <c r="I1027" s="343"/>
      <c r="J1027" s="307">
        <f t="shared" si="358"/>
        <v>0</v>
      </c>
      <c r="K1027" s="306"/>
      <c r="M1027">
        <f t="shared" si="364"/>
        <v>0</v>
      </c>
      <c r="N1027" s="415"/>
      <c r="O1027" s="415"/>
    </row>
    <row r="1028" customFormat="1" ht="20" customHeight="1" spans="1:17">
      <c r="A1028" s="440">
        <v>2160603</v>
      </c>
      <c r="B1028" s="239" t="s">
        <v>733</v>
      </c>
      <c r="C1028" s="343">
        <v>0</v>
      </c>
      <c r="D1028" s="343"/>
      <c r="E1028" s="343">
        <v>0</v>
      </c>
      <c r="F1028" s="414"/>
      <c r="G1028" s="346">
        <f t="shared" si="367"/>
        <v>0</v>
      </c>
      <c r="H1028" s="414"/>
      <c r="I1028" s="343"/>
      <c r="J1028" s="307">
        <f t="shared" si="358"/>
        <v>0</v>
      </c>
      <c r="K1028" s="306"/>
      <c r="M1028">
        <f t="shared" si="364"/>
        <v>0</v>
      </c>
      <c r="N1028" s="415"/>
      <c r="O1028" s="415"/>
    </row>
    <row r="1029" customFormat="1" ht="20" customHeight="1" spans="1:17">
      <c r="A1029" s="440">
        <v>2160607</v>
      </c>
      <c r="B1029" s="239" t="s">
        <v>935</v>
      </c>
      <c r="C1029" s="343">
        <v>0</v>
      </c>
      <c r="D1029" s="343"/>
      <c r="E1029" s="343">
        <v>0</v>
      </c>
      <c r="F1029" s="414"/>
      <c r="G1029" s="346">
        <f t="shared" si="367"/>
        <v>0</v>
      </c>
      <c r="H1029" s="414"/>
      <c r="I1029" s="343"/>
      <c r="J1029" s="307">
        <f t="shared" si="358"/>
        <v>0</v>
      </c>
      <c r="K1029" s="306"/>
      <c r="M1029">
        <f t="shared" si="364"/>
        <v>0</v>
      </c>
      <c r="N1029" s="415"/>
      <c r="O1029" s="415"/>
    </row>
    <row r="1030" customFormat="1" ht="20" customHeight="1" spans="1:17">
      <c r="A1030" s="440">
        <v>2160699</v>
      </c>
      <c r="B1030" s="239" t="s">
        <v>936</v>
      </c>
      <c r="C1030" s="343">
        <v>0</v>
      </c>
      <c r="D1030" s="343"/>
      <c r="E1030" s="343">
        <v>0</v>
      </c>
      <c r="F1030" s="414"/>
      <c r="G1030" s="346">
        <f t="shared" si="367"/>
        <v>0</v>
      </c>
      <c r="H1030" s="414"/>
      <c r="I1030" s="343"/>
      <c r="J1030" s="307">
        <f t="shared" ref="J1030:J1093" si="368">I1030-D1030</f>
        <v>0</v>
      </c>
      <c r="K1030" s="306"/>
      <c r="M1030">
        <f t="shared" si="364"/>
        <v>0</v>
      </c>
      <c r="N1030" s="415"/>
      <c r="O1030" s="415"/>
    </row>
    <row r="1031" customFormat="1" ht="20" customHeight="1" spans="1:17">
      <c r="A1031" s="437">
        <v>21699</v>
      </c>
      <c r="B1031" s="427" t="s">
        <v>937</v>
      </c>
      <c r="C1031" s="343">
        <v>0</v>
      </c>
      <c r="D1031" s="343"/>
      <c r="E1031" s="343">
        <v>0</v>
      </c>
      <c r="F1031" s="414"/>
      <c r="G1031" s="346">
        <f t="shared" si="367"/>
        <v>0</v>
      </c>
      <c r="H1031" s="414"/>
      <c r="I1031" s="343"/>
      <c r="J1031" s="307">
        <f t="shared" si="368"/>
        <v>0</v>
      </c>
      <c r="K1031" s="306"/>
      <c r="M1031">
        <f t="shared" si="364"/>
        <v>0</v>
      </c>
      <c r="N1031" s="415"/>
      <c r="O1031" s="415"/>
    </row>
    <row r="1032" customFormat="1" ht="20" customHeight="1" spans="1:17">
      <c r="A1032" s="440">
        <v>2169901</v>
      </c>
      <c r="B1032" s="239" t="s">
        <v>938</v>
      </c>
      <c r="C1032" s="343">
        <v>0</v>
      </c>
      <c r="D1032" s="343"/>
      <c r="E1032" s="343">
        <v>0</v>
      </c>
      <c r="F1032" s="414"/>
      <c r="G1032" s="346">
        <f t="shared" si="367"/>
        <v>0</v>
      </c>
      <c r="H1032" s="414"/>
      <c r="I1032" s="343"/>
      <c r="J1032" s="307">
        <f t="shared" si="368"/>
        <v>0</v>
      </c>
      <c r="K1032" s="306"/>
      <c r="M1032">
        <f t="shared" si="364"/>
        <v>0</v>
      </c>
      <c r="N1032" s="415"/>
      <c r="O1032" s="415"/>
    </row>
    <row r="1033" customFormat="1" ht="20" customHeight="1" spans="1:17">
      <c r="A1033" s="440">
        <v>2169999</v>
      </c>
      <c r="B1033" s="239" t="s">
        <v>939</v>
      </c>
      <c r="C1033" s="343">
        <v>0</v>
      </c>
      <c r="D1033" s="343"/>
      <c r="E1033" s="343">
        <v>0</v>
      </c>
      <c r="F1033" s="414"/>
      <c r="G1033" s="346">
        <f t="shared" si="367"/>
        <v>0</v>
      </c>
      <c r="H1033" s="414"/>
      <c r="I1033" s="343"/>
      <c r="J1033" s="307">
        <f t="shared" si="368"/>
        <v>0</v>
      </c>
      <c r="K1033" s="306"/>
      <c r="M1033">
        <f t="shared" si="364"/>
        <v>0</v>
      </c>
      <c r="N1033" s="415"/>
      <c r="O1033" s="415"/>
    </row>
    <row r="1034" s="278" customFormat="1" ht="20" customHeight="1" spans="1:17">
      <c r="A1034" s="412">
        <v>217</v>
      </c>
      <c r="B1034" s="413" t="s">
        <v>940</v>
      </c>
      <c r="C1034" s="346">
        <f>SUM(C1035:C1037)</f>
        <v>2275.834001</v>
      </c>
      <c r="D1034" s="346">
        <f t="shared" ref="D1034:I1034" si="369">SUM(D1035:D1037)</f>
        <v>0</v>
      </c>
      <c r="E1034" s="346">
        <f t="shared" si="369"/>
        <v>917</v>
      </c>
      <c r="F1034" s="414"/>
      <c r="G1034" s="346">
        <f t="shared" si="367"/>
        <v>-1358.834001</v>
      </c>
      <c r="H1034" s="414">
        <f t="shared" ref="H1034:H1041" si="370">G1034/C1034*100</f>
        <v>-59.7070788292525</v>
      </c>
      <c r="I1034" s="346">
        <f t="shared" si="369"/>
        <v>0</v>
      </c>
      <c r="J1034" s="307">
        <f t="shared" si="368"/>
        <v>0</v>
      </c>
      <c r="K1034" s="306"/>
      <c r="M1034" s="278">
        <f t="shared" si="364"/>
        <v>0</v>
      </c>
      <c r="N1034" s="415"/>
      <c r="O1034" s="415"/>
    </row>
    <row r="1035" customFormat="1" ht="20" customHeight="1" spans="1:17">
      <c r="A1035" s="437">
        <v>21701</v>
      </c>
      <c r="B1035" s="427" t="s">
        <v>941</v>
      </c>
      <c r="C1035" s="343">
        <v>0</v>
      </c>
      <c r="D1035" s="343"/>
      <c r="E1035" s="343">
        <v>25</v>
      </c>
      <c r="F1035" s="414"/>
      <c r="G1035" s="346">
        <f t="shared" si="367"/>
        <v>25</v>
      </c>
      <c r="H1035" s="414"/>
      <c r="I1035" s="343"/>
      <c r="J1035" s="307">
        <f t="shared" si="368"/>
        <v>0</v>
      </c>
      <c r="K1035" s="306"/>
      <c r="M1035">
        <f t="shared" si="364"/>
        <v>0</v>
      </c>
      <c r="N1035" s="415"/>
      <c r="O1035" s="415"/>
    </row>
    <row r="1036" customFormat="1" ht="20" customHeight="1" spans="1:17">
      <c r="A1036" s="437">
        <v>21703</v>
      </c>
      <c r="B1036" s="427" t="s">
        <v>942</v>
      </c>
      <c r="C1036" s="343">
        <v>2275.834001</v>
      </c>
      <c r="D1036" s="343"/>
      <c r="E1036" s="343">
        <v>892</v>
      </c>
      <c r="F1036" s="414"/>
      <c r="G1036" s="346">
        <f t="shared" si="367"/>
        <v>-1383.834001</v>
      </c>
      <c r="H1036" s="414">
        <f t="shared" si="370"/>
        <v>-60.8055772254015</v>
      </c>
      <c r="I1036" s="343"/>
      <c r="J1036" s="307">
        <f t="shared" si="368"/>
        <v>0</v>
      </c>
      <c r="K1036" s="306"/>
      <c r="M1036">
        <f t="shared" si="364"/>
        <v>0</v>
      </c>
      <c r="N1036" s="415"/>
      <c r="O1036" s="415"/>
      <c r="Q1036">
        <v>963</v>
      </c>
    </row>
    <row r="1037" customFormat="1" ht="20" customHeight="1" spans="1:17">
      <c r="A1037" s="437">
        <v>21799</v>
      </c>
      <c r="B1037" s="427" t="s">
        <v>943</v>
      </c>
      <c r="C1037" s="343">
        <v>0</v>
      </c>
      <c r="D1037" s="343"/>
      <c r="E1037" s="343">
        <v>0</v>
      </c>
      <c r="F1037" s="414"/>
      <c r="G1037" s="346">
        <f t="shared" si="367"/>
        <v>0</v>
      </c>
      <c r="H1037" s="414"/>
      <c r="I1037" s="343"/>
      <c r="J1037" s="307">
        <f t="shared" si="368"/>
        <v>0</v>
      </c>
      <c r="K1037" s="306"/>
      <c r="M1037">
        <f t="shared" si="364"/>
        <v>0</v>
      </c>
      <c r="N1037" s="415"/>
      <c r="O1037" s="415"/>
    </row>
    <row r="1038" s="278" customFormat="1" ht="20" customHeight="1" spans="1:17">
      <c r="A1038" s="412">
        <v>220</v>
      </c>
      <c r="B1038" s="413" t="s">
        <v>944</v>
      </c>
      <c r="C1038" s="346">
        <f>SUM(C1039:C1071)/2</f>
        <v>4943.301918</v>
      </c>
      <c r="D1038" s="346">
        <f t="shared" ref="D1038:I1038" si="371">SUM(D1039:D1071)/2</f>
        <v>777.809843</v>
      </c>
      <c r="E1038" s="346">
        <f t="shared" si="371"/>
        <v>1847</v>
      </c>
      <c r="F1038" s="414">
        <f t="shared" ref="F1038:F1041" si="372">E1038/D1038*100</f>
        <v>237.461638808292</v>
      </c>
      <c r="G1038" s="346">
        <f t="shared" si="367"/>
        <v>-3096.301918</v>
      </c>
      <c r="H1038" s="414">
        <f t="shared" si="370"/>
        <v>-62.6363100891221</v>
      </c>
      <c r="I1038" s="429">
        <f t="shared" si="371"/>
        <v>1921.347645</v>
      </c>
      <c r="J1038" s="307">
        <f t="shared" si="368"/>
        <v>1143.537802</v>
      </c>
      <c r="K1038" s="306">
        <f t="shared" ref="K1038:K1041" si="373">J1038/D1038*100</f>
        <v>147.020227667651</v>
      </c>
      <c r="M1038" s="278">
        <f t="shared" si="364"/>
        <v>0</v>
      </c>
      <c r="N1038" s="415"/>
      <c r="O1038" s="415"/>
    </row>
    <row r="1039" customFormat="1" ht="20" customHeight="1" spans="1:17">
      <c r="A1039" s="437">
        <v>22001</v>
      </c>
      <c r="B1039" s="427" t="s">
        <v>945</v>
      </c>
      <c r="C1039" s="343">
        <f>SUM(C1040:C1055)</f>
        <v>4899.892863</v>
      </c>
      <c r="D1039" s="343">
        <f t="shared" ref="D1039:I1039" si="374">SUM(D1040:D1055)</f>
        <v>764.600818</v>
      </c>
      <c r="E1039" s="343">
        <f t="shared" si="374"/>
        <v>1767</v>
      </c>
      <c r="F1039" s="414">
        <f t="shared" si="372"/>
        <v>231.100982159818</v>
      </c>
      <c r="G1039" s="346">
        <f t="shared" si="367"/>
        <v>-3132.892863</v>
      </c>
      <c r="H1039" s="414">
        <f t="shared" si="370"/>
        <v>-63.9379870253298</v>
      </c>
      <c r="I1039" s="343">
        <f t="shared" si="374"/>
        <v>1921.347645</v>
      </c>
      <c r="J1039" s="307">
        <f t="shared" si="368"/>
        <v>1156.746827</v>
      </c>
      <c r="K1039" s="306">
        <f t="shared" si="373"/>
        <v>151.287678454982</v>
      </c>
      <c r="M1039">
        <f t="shared" si="364"/>
        <v>0</v>
      </c>
      <c r="N1039" s="415"/>
      <c r="O1039" s="415"/>
    </row>
    <row r="1040" s="278" customFormat="1" ht="20" customHeight="1" spans="1:17">
      <c r="A1040" s="438">
        <v>2200101</v>
      </c>
      <c r="B1040" s="422" t="s">
        <v>731</v>
      </c>
      <c r="C1040" s="343">
        <v>321.332045</v>
      </c>
      <c r="D1040" s="425">
        <v>178.823245</v>
      </c>
      <c r="E1040" s="343">
        <v>194</v>
      </c>
      <c r="F1040" s="414">
        <f t="shared" si="372"/>
        <v>108.487014649578</v>
      </c>
      <c r="G1040" s="346">
        <f t="shared" si="367"/>
        <v>-127.332045</v>
      </c>
      <c r="H1040" s="414">
        <f t="shared" si="370"/>
        <v>-39.6263139581986</v>
      </c>
      <c r="I1040" s="420">
        <v>170.663605</v>
      </c>
      <c r="J1040" s="307">
        <f t="shared" si="368"/>
        <v>-8.15964</v>
      </c>
      <c r="K1040" s="306">
        <f t="shared" si="373"/>
        <v>-4.56296383616123</v>
      </c>
      <c r="M1040" s="278">
        <f t="shared" si="364"/>
        <v>400</v>
      </c>
      <c r="N1040" s="415">
        <v>400</v>
      </c>
      <c r="O1040" s="415"/>
    </row>
    <row r="1041" s="278" customFormat="1" ht="20" customHeight="1" spans="1:17">
      <c r="A1041" s="438">
        <v>2200102</v>
      </c>
      <c r="B1041" s="422" t="s">
        <v>732</v>
      </c>
      <c r="C1041" s="343">
        <v>292.507585</v>
      </c>
      <c r="D1041" s="425">
        <v>30.101097</v>
      </c>
      <c r="E1041" s="343">
        <v>139</v>
      </c>
      <c r="F1041" s="414">
        <f t="shared" si="372"/>
        <v>461.777190379474</v>
      </c>
      <c r="G1041" s="346">
        <f t="shared" si="367"/>
        <v>-153.507585</v>
      </c>
      <c r="H1041" s="414">
        <f t="shared" si="370"/>
        <v>-52.4798647529089</v>
      </c>
      <c r="I1041" s="420">
        <v>110.846618</v>
      </c>
      <c r="J1041" s="307">
        <f t="shared" si="368"/>
        <v>80.745521</v>
      </c>
      <c r="K1041" s="306">
        <f t="shared" si="373"/>
        <v>268.24776851156</v>
      </c>
      <c r="M1041" s="278">
        <f t="shared" si="364"/>
        <v>0</v>
      </c>
      <c r="N1041" s="415"/>
      <c r="O1041" s="415"/>
    </row>
    <row r="1042" s="278" customFormat="1" ht="20" customHeight="1" spans="1:17">
      <c r="A1042" s="438">
        <v>2200103</v>
      </c>
      <c r="B1042" s="422" t="s">
        <v>733</v>
      </c>
      <c r="C1042" s="343">
        <v>0</v>
      </c>
      <c r="D1042" s="343"/>
      <c r="E1042" s="343"/>
      <c r="F1042" s="414"/>
      <c r="G1042" s="346">
        <f t="shared" si="367"/>
        <v>0</v>
      </c>
      <c r="H1042" s="414"/>
      <c r="I1042" s="343"/>
      <c r="J1042" s="307">
        <f t="shared" si="368"/>
        <v>0</v>
      </c>
      <c r="K1042" s="306"/>
      <c r="M1042" s="278">
        <f t="shared" si="364"/>
        <v>0</v>
      </c>
      <c r="N1042" s="415"/>
      <c r="O1042" s="415"/>
    </row>
    <row r="1043" s="278" customFormat="1" ht="20" customHeight="1" spans="1:17">
      <c r="A1043" s="438">
        <v>2200104</v>
      </c>
      <c r="B1043" s="422" t="s">
        <v>946</v>
      </c>
      <c r="C1043" s="343">
        <v>157.209435</v>
      </c>
      <c r="D1043" s="343"/>
      <c r="E1043" s="343">
        <v>75</v>
      </c>
      <c r="F1043" s="414"/>
      <c r="G1043" s="346">
        <f t="shared" si="367"/>
        <v>-82.209435</v>
      </c>
      <c r="H1043" s="414">
        <f t="shared" ref="H1043:H1048" si="375">G1043/C1043*100</f>
        <v>-52.2929396699378</v>
      </c>
      <c r="I1043" s="343"/>
      <c r="J1043" s="307">
        <f t="shared" si="368"/>
        <v>0</v>
      </c>
      <c r="K1043" s="306"/>
      <c r="M1043" s="278">
        <f t="shared" si="364"/>
        <v>0</v>
      </c>
      <c r="N1043" s="415"/>
      <c r="O1043" s="415"/>
      <c r="Q1043" s="278">
        <v>170</v>
      </c>
    </row>
    <row r="1044" s="278" customFormat="1" ht="20" customHeight="1" spans="1:17">
      <c r="A1044" s="438">
        <v>2200106</v>
      </c>
      <c r="B1044" s="422" t="s">
        <v>947</v>
      </c>
      <c r="C1044" s="343">
        <v>1358.990998</v>
      </c>
      <c r="D1044" s="425">
        <v>224.630452</v>
      </c>
      <c r="E1044" s="343">
        <v>898</v>
      </c>
      <c r="F1044" s="414">
        <f t="shared" ref="F1044:F1048" si="376">E1044/D1044*100</f>
        <v>399.767703801798</v>
      </c>
      <c r="G1044" s="346">
        <f t="shared" si="367"/>
        <v>-460.990998</v>
      </c>
      <c r="H1044" s="414">
        <f t="shared" si="375"/>
        <v>-33.9215637688867</v>
      </c>
      <c r="I1044" s="420">
        <f>227.7064+589.99+360</f>
        <v>1177.6964</v>
      </c>
      <c r="J1044" s="307">
        <f t="shared" si="368"/>
        <v>953.065948</v>
      </c>
      <c r="K1044" s="306">
        <f t="shared" ref="K1044:K1048" si="377">J1044/D1044*100</f>
        <v>424.281721162187</v>
      </c>
      <c r="M1044" s="278">
        <f t="shared" si="364"/>
        <v>202</v>
      </c>
      <c r="N1044" s="415">
        <v>202</v>
      </c>
      <c r="O1044" s="415"/>
      <c r="P1044" s="278">
        <v>777</v>
      </c>
      <c r="Q1044" s="278">
        <v>66</v>
      </c>
    </row>
    <row r="1045" s="278" customFormat="1" ht="20" customHeight="1" spans="1:17">
      <c r="A1045" s="438">
        <v>2200107</v>
      </c>
      <c r="B1045" s="422" t="s">
        <v>948</v>
      </c>
      <c r="C1045" s="343">
        <v>0</v>
      </c>
      <c r="D1045" s="343"/>
      <c r="E1045" s="343"/>
      <c r="F1045" s="414"/>
      <c r="G1045" s="346">
        <f t="shared" si="367"/>
        <v>0</v>
      </c>
      <c r="H1045" s="414"/>
      <c r="I1045" s="343"/>
      <c r="J1045" s="307">
        <f t="shared" si="368"/>
        <v>0</v>
      </c>
      <c r="K1045" s="306"/>
      <c r="M1045" s="278">
        <f t="shared" si="364"/>
        <v>0</v>
      </c>
      <c r="N1045" s="415"/>
      <c r="O1045" s="415"/>
    </row>
    <row r="1046" s="278" customFormat="1" ht="20" customHeight="1" spans="1:17">
      <c r="A1046" s="438">
        <v>2200108</v>
      </c>
      <c r="B1046" s="422" t="s">
        <v>949</v>
      </c>
      <c r="C1046" s="343">
        <v>0</v>
      </c>
      <c r="D1046" s="343"/>
      <c r="E1046" s="343"/>
      <c r="F1046" s="414"/>
      <c r="G1046" s="346">
        <f t="shared" si="367"/>
        <v>0</v>
      </c>
      <c r="H1046" s="414"/>
      <c r="I1046" s="343"/>
      <c r="J1046" s="307">
        <f t="shared" si="368"/>
        <v>0</v>
      </c>
      <c r="K1046" s="306"/>
      <c r="M1046" s="278">
        <f t="shared" si="364"/>
        <v>0</v>
      </c>
      <c r="N1046" s="415"/>
      <c r="O1046" s="415"/>
    </row>
    <row r="1047" s="278" customFormat="1" ht="20" customHeight="1" spans="1:17">
      <c r="A1047" s="438">
        <v>2200109</v>
      </c>
      <c r="B1047" s="422" t="s">
        <v>950</v>
      </c>
      <c r="C1047" s="343">
        <v>234.800424</v>
      </c>
      <c r="D1047" s="425">
        <v>206.56564</v>
      </c>
      <c r="E1047" s="343">
        <v>305</v>
      </c>
      <c r="F1047" s="414">
        <f t="shared" si="376"/>
        <v>147.652823577048</v>
      </c>
      <c r="G1047" s="346">
        <f t="shared" si="367"/>
        <v>70.199576</v>
      </c>
      <c r="H1047" s="414">
        <f t="shared" si="375"/>
        <v>29.8975507812541</v>
      </c>
      <c r="I1047" s="425">
        <v>316.03</v>
      </c>
      <c r="J1047" s="307">
        <f t="shared" si="368"/>
        <v>109.46436</v>
      </c>
      <c r="K1047" s="306">
        <f t="shared" si="377"/>
        <v>52.9925306067359</v>
      </c>
      <c r="M1047" s="278">
        <f t="shared" si="364"/>
        <v>251</v>
      </c>
      <c r="N1047" s="415">
        <v>251</v>
      </c>
      <c r="O1047" s="415"/>
    </row>
    <row r="1048" s="278" customFormat="1" ht="20" customHeight="1" spans="1:17">
      <c r="A1048" s="438">
        <v>2200112</v>
      </c>
      <c r="B1048" s="422" t="s">
        <v>951</v>
      </c>
      <c r="C1048" s="343">
        <v>1528.315739</v>
      </c>
      <c r="D1048" s="425">
        <v>96.440714</v>
      </c>
      <c r="E1048" s="343">
        <v>126</v>
      </c>
      <c r="F1048" s="414">
        <f t="shared" si="376"/>
        <v>130.650214804507</v>
      </c>
      <c r="G1048" s="346">
        <f t="shared" si="367"/>
        <v>-1402.315739</v>
      </c>
      <c r="H1048" s="414">
        <f t="shared" si="375"/>
        <v>-91.7556302807924</v>
      </c>
      <c r="I1048" s="420">
        <v>115.678133</v>
      </c>
      <c r="J1048" s="307">
        <f t="shared" si="368"/>
        <v>19.237419</v>
      </c>
      <c r="K1048" s="306">
        <f t="shared" si="377"/>
        <v>19.9474041637643</v>
      </c>
      <c r="M1048" s="278">
        <f t="shared" si="364"/>
        <v>125</v>
      </c>
      <c r="N1048" s="415">
        <v>125</v>
      </c>
      <c r="O1048" s="415"/>
    </row>
    <row r="1049" s="278" customFormat="1" ht="20" customHeight="1" spans="1:17">
      <c r="A1049" s="438">
        <v>2200113</v>
      </c>
      <c r="B1049" s="422" t="s">
        <v>952</v>
      </c>
      <c r="C1049" s="343">
        <v>0</v>
      </c>
      <c r="D1049" s="343"/>
      <c r="E1049" s="343"/>
      <c r="F1049" s="414"/>
      <c r="G1049" s="346">
        <f t="shared" si="367"/>
        <v>0</v>
      </c>
      <c r="H1049" s="414"/>
      <c r="I1049" s="343"/>
      <c r="J1049" s="307">
        <f t="shared" si="368"/>
        <v>0</v>
      </c>
      <c r="K1049" s="306"/>
      <c r="M1049" s="278">
        <f t="shared" si="364"/>
        <v>0</v>
      </c>
      <c r="N1049" s="415"/>
      <c r="O1049" s="415"/>
    </row>
    <row r="1050" s="278" customFormat="1" ht="20" customHeight="1" spans="1:17">
      <c r="A1050" s="438">
        <v>2200114</v>
      </c>
      <c r="B1050" s="422" t="s">
        <v>953</v>
      </c>
      <c r="C1050" s="343">
        <v>0</v>
      </c>
      <c r="D1050" s="343"/>
      <c r="E1050" s="343"/>
      <c r="F1050" s="414"/>
      <c r="G1050" s="346">
        <f t="shared" si="367"/>
        <v>0</v>
      </c>
      <c r="H1050" s="414"/>
      <c r="I1050" s="343"/>
      <c r="J1050" s="307">
        <f t="shared" si="368"/>
        <v>0</v>
      </c>
      <c r="K1050" s="306"/>
      <c r="M1050" s="278">
        <f t="shared" si="364"/>
        <v>0</v>
      </c>
      <c r="N1050" s="415"/>
      <c r="O1050" s="415"/>
    </row>
    <row r="1051" s="278" customFormat="1" ht="20" customHeight="1" spans="1:17">
      <c r="A1051" s="438">
        <v>2200115</v>
      </c>
      <c r="B1051" s="422" t="s">
        <v>954</v>
      </c>
      <c r="C1051" s="343">
        <v>0</v>
      </c>
      <c r="D1051" s="343"/>
      <c r="E1051" s="343"/>
      <c r="F1051" s="414"/>
      <c r="G1051" s="346">
        <f t="shared" si="367"/>
        <v>0</v>
      </c>
      <c r="H1051" s="414"/>
      <c r="I1051" s="343"/>
      <c r="J1051" s="307">
        <f t="shared" si="368"/>
        <v>0</v>
      </c>
      <c r="K1051" s="306"/>
      <c r="M1051" s="278">
        <f t="shared" si="364"/>
        <v>0</v>
      </c>
      <c r="N1051" s="415"/>
      <c r="O1051" s="415"/>
    </row>
    <row r="1052" s="278" customFormat="1" ht="20" customHeight="1" spans="1:17">
      <c r="A1052" s="438">
        <v>2200116</v>
      </c>
      <c r="B1052" s="422" t="s">
        <v>955</v>
      </c>
      <c r="C1052" s="343">
        <v>0</v>
      </c>
      <c r="D1052" s="343"/>
      <c r="E1052" s="343"/>
      <c r="F1052" s="414"/>
      <c r="G1052" s="346">
        <f t="shared" si="367"/>
        <v>0</v>
      </c>
      <c r="H1052" s="414"/>
      <c r="I1052" s="343"/>
      <c r="J1052" s="307">
        <f t="shared" si="368"/>
        <v>0</v>
      </c>
      <c r="K1052" s="306"/>
      <c r="M1052" s="278">
        <f t="shared" si="364"/>
        <v>0</v>
      </c>
      <c r="N1052" s="415"/>
      <c r="O1052" s="415"/>
    </row>
    <row r="1053" s="278" customFormat="1" ht="20" customHeight="1" spans="1:17">
      <c r="A1053" s="438">
        <v>2200119</v>
      </c>
      <c r="B1053" s="422" t="s">
        <v>956</v>
      </c>
      <c r="C1053" s="343">
        <v>0</v>
      </c>
      <c r="D1053" s="343"/>
      <c r="E1053" s="343"/>
      <c r="F1053" s="414"/>
      <c r="G1053" s="346">
        <f t="shared" si="367"/>
        <v>0</v>
      </c>
      <c r="H1053" s="414"/>
      <c r="I1053" s="343"/>
      <c r="J1053" s="307">
        <f t="shared" si="368"/>
        <v>0</v>
      </c>
      <c r="K1053" s="306"/>
      <c r="M1053" s="278">
        <f t="shared" si="364"/>
        <v>0</v>
      </c>
      <c r="N1053" s="415"/>
      <c r="O1053" s="415"/>
    </row>
    <row r="1054" s="278" customFormat="1" ht="20" customHeight="1" spans="1:17">
      <c r="A1054" s="438">
        <v>2200150</v>
      </c>
      <c r="B1054" s="422" t="s">
        <v>750</v>
      </c>
      <c r="C1054" s="343">
        <v>28.119037</v>
      </c>
      <c r="D1054" s="425">
        <v>28.03967</v>
      </c>
      <c r="E1054" s="343">
        <v>30</v>
      </c>
      <c r="F1054" s="414">
        <f t="shared" ref="F1054:F1057" si="378">E1054/D1054*100</f>
        <v>106.991273435101</v>
      </c>
      <c r="G1054" s="346">
        <f t="shared" si="367"/>
        <v>1.880963</v>
      </c>
      <c r="H1054" s="414">
        <f t="shared" ref="H1054:H1058" si="379">G1054/C1054*100</f>
        <v>6.68928669214384</v>
      </c>
      <c r="I1054" s="420">
        <v>30.432889</v>
      </c>
      <c r="J1054" s="307">
        <f t="shared" si="368"/>
        <v>2.393219</v>
      </c>
      <c r="K1054" s="306">
        <f t="shared" ref="K1054:K1057" si="380">J1054/D1054*100</f>
        <v>8.53511828063596</v>
      </c>
      <c r="M1054" s="278">
        <f t="shared" si="364"/>
        <v>28</v>
      </c>
      <c r="N1054" s="415">
        <v>28</v>
      </c>
      <c r="O1054" s="415"/>
    </row>
    <row r="1055" s="278" customFormat="1" ht="20" customHeight="1" spans="1:17">
      <c r="A1055" s="438">
        <v>2200199</v>
      </c>
      <c r="B1055" s="422" t="s">
        <v>957</v>
      </c>
      <c r="C1055" s="343">
        <v>978.6176</v>
      </c>
      <c r="D1055" s="343"/>
      <c r="E1055" s="343"/>
      <c r="F1055" s="414"/>
      <c r="G1055" s="346">
        <f t="shared" si="367"/>
        <v>-978.6176</v>
      </c>
      <c r="H1055" s="414">
        <f t="shared" si="379"/>
        <v>-100</v>
      </c>
      <c r="I1055" s="343"/>
      <c r="J1055" s="307">
        <f t="shared" si="368"/>
        <v>0</v>
      </c>
      <c r="K1055" s="306"/>
      <c r="M1055" s="278">
        <f t="shared" si="364"/>
        <v>0</v>
      </c>
      <c r="N1055" s="415"/>
      <c r="O1055" s="415"/>
    </row>
    <row r="1056" customFormat="1" ht="20" customHeight="1" spans="1:17">
      <c r="A1056" s="437">
        <v>22005</v>
      </c>
      <c r="B1056" s="427" t="s">
        <v>958</v>
      </c>
      <c r="C1056" s="371">
        <f>SUM(C1057:C1070)</f>
        <v>43.409055</v>
      </c>
      <c r="D1056" s="371">
        <f t="shared" ref="D1056:I1056" si="381">SUM(D1057:D1070)</f>
        <v>13.209025</v>
      </c>
      <c r="E1056" s="371">
        <f t="shared" si="381"/>
        <v>80</v>
      </c>
      <c r="F1056" s="414">
        <f t="shared" si="378"/>
        <v>605.646518194946</v>
      </c>
      <c r="G1056" s="346">
        <f t="shared" si="367"/>
        <v>36.590945</v>
      </c>
      <c r="H1056" s="414">
        <f t="shared" si="379"/>
        <v>84.2933461693649</v>
      </c>
      <c r="I1056" s="371">
        <f t="shared" si="381"/>
        <v>0</v>
      </c>
      <c r="J1056" s="307">
        <f t="shared" si="368"/>
        <v>-13.209025</v>
      </c>
      <c r="K1056" s="306">
        <f t="shared" si="380"/>
        <v>-100</v>
      </c>
      <c r="M1056">
        <f t="shared" si="364"/>
        <v>0</v>
      </c>
      <c r="N1056" s="415"/>
      <c r="O1056" s="415"/>
    </row>
    <row r="1057" s="278" customFormat="1" ht="20" customHeight="1" spans="1:15">
      <c r="A1057" s="438">
        <v>2200501</v>
      </c>
      <c r="B1057" s="422" t="s">
        <v>731</v>
      </c>
      <c r="C1057" s="331">
        <v>39.77623</v>
      </c>
      <c r="D1057" s="343">
        <f>12.717825+0.4912</f>
        <v>13.209025</v>
      </c>
      <c r="E1057" s="331">
        <v>80</v>
      </c>
      <c r="F1057" s="414">
        <f t="shared" si="378"/>
        <v>605.646518194946</v>
      </c>
      <c r="G1057" s="346">
        <f t="shared" si="367"/>
        <v>40.22377</v>
      </c>
      <c r="H1057" s="414">
        <f t="shared" si="379"/>
        <v>101.125144338717</v>
      </c>
      <c r="I1057" s="343"/>
      <c r="J1057" s="307">
        <f t="shared" si="368"/>
        <v>-13.209025</v>
      </c>
      <c r="K1057" s="306">
        <f t="shared" si="380"/>
        <v>-100</v>
      </c>
      <c r="M1057" s="278">
        <f t="shared" si="364"/>
        <v>36</v>
      </c>
      <c r="N1057" s="415">
        <v>36</v>
      </c>
      <c r="O1057" s="415"/>
    </row>
    <row r="1058" s="278" customFormat="1" ht="20" customHeight="1" spans="1:15">
      <c r="A1058" s="438">
        <v>2200502</v>
      </c>
      <c r="B1058" s="422" t="s">
        <v>732</v>
      </c>
      <c r="C1058" s="331">
        <v>3.632825</v>
      </c>
      <c r="D1058" s="343"/>
      <c r="E1058" s="331"/>
      <c r="F1058" s="414"/>
      <c r="G1058" s="346">
        <f t="shared" si="367"/>
        <v>-3.632825</v>
      </c>
      <c r="H1058" s="414">
        <f t="shared" si="379"/>
        <v>-100</v>
      </c>
      <c r="I1058" s="343"/>
      <c r="J1058" s="307">
        <f t="shared" si="368"/>
        <v>0</v>
      </c>
      <c r="K1058" s="306"/>
      <c r="M1058" s="278">
        <f t="shared" si="364"/>
        <v>0</v>
      </c>
      <c r="N1058" s="415"/>
      <c r="O1058" s="415"/>
    </row>
    <row r="1059" s="278" customFormat="1" ht="20" customHeight="1" spans="1:15">
      <c r="A1059" s="438">
        <v>2200503</v>
      </c>
      <c r="B1059" s="422" t="s">
        <v>733</v>
      </c>
      <c r="C1059" s="331">
        <v>0</v>
      </c>
      <c r="D1059" s="343"/>
      <c r="E1059" s="331">
        <v>0</v>
      </c>
      <c r="F1059" s="414"/>
      <c r="G1059" s="346">
        <f t="shared" si="367"/>
        <v>0</v>
      </c>
      <c r="H1059" s="414"/>
      <c r="I1059" s="343"/>
      <c r="J1059" s="307">
        <f t="shared" si="368"/>
        <v>0</v>
      </c>
      <c r="K1059" s="306"/>
      <c r="M1059" s="278">
        <f t="shared" si="364"/>
        <v>0</v>
      </c>
      <c r="N1059" s="415"/>
      <c r="O1059" s="415"/>
    </row>
    <row r="1060" s="278" customFormat="1" ht="20" customHeight="1" spans="1:15">
      <c r="A1060" s="438">
        <v>2200504</v>
      </c>
      <c r="B1060" s="422" t="s">
        <v>959</v>
      </c>
      <c r="C1060" s="331">
        <v>0</v>
      </c>
      <c r="D1060" s="343"/>
      <c r="E1060" s="331">
        <v>0</v>
      </c>
      <c r="F1060" s="414"/>
      <c r="G1060" s="346">
        <f t="shared" si="367"/>
        <v>0</v>
      </c>
      <c r="H1060" s="414"/>
      <c r="I1060" s="343"/>
      <c r="J1060" s="307">
        <f t="shared" si="368"/>
        <v>0</v>
      </c>
      <c r="K1060" s="306"/>
      <c r="M1060" s="278">
        <f t="shared" si="364"/>
        <v>0</v>
      </c>
      <c r="N1060" s="415"/>
      <c r="O1060" s="415"/>
    </row>
    <row r="1061" s="278" customFormat="1" ht="20" customHeight="1" spans="1:15">
      <c r="A1061" s="438">
        <v>2200506</v>
      </c>
      <c r="B1061" s="422" t="s">
        <v>960</v>
      </c>
      <c r="C1061" s="331">
        <v>0</v>
      </c>
      <c r="D1061" s="343"/>
      <c r="E1061" s="331">
        <v>0</v>
      </c>
      <c r="F1061" s="414"/>
      <c r="G1061" s="346">
        <f t="shared" si="367"/>
        <v>0</v>
      </c>
      <c r="H1061" s="414"/>
      <c r="I1061" s="343"/>
      <c r="J1061" s="307">
        <f t="shared" si="368"/>
        <v>0</v>
      </c>
      <c r="K1061" s="306"/>
      <c r="M1061" s="278">
        <f t="shared" si="364"/>
        <v>0</v>
      </c>
      <c r="N1061" s="415"/>
      <c r="O1061" s="415"/>
    </row>
    <row r="1062" s="278" customFormat="1" ht="20" customHeight="1" spans="1:15">
      <c r="A1062" s="438">
        <v>2200507</v>
      </c>
      <c r="B1062" s="422" t="s">
        <v>961</v>
      </c>
      <c r="C1062" s="331">
        <v>0</v>
      </c>
      <c r="D1062" s="343"/>
      <c r="E1062" s="331">
        <v>0</v>
      </c>
      <c r="F1062" s="414"/>
      <c r="G1062" s="346">
        <f t="shared" si="367"/>
        <v>0</v>
      </c>
      <c r="H1062" s="414"/>
      <c r="I1062" s="343"/>
      <c r="J1062" s="307">
        <f t="shared" si="368"/>
        <v>0</v>
      </c>
      <c r="K1062" s="306"/>
      <c r="M1062" s="278">
        <f t="shared" si="364"/>
        <v>0</v>
      </c>
      <c r="N1062" s="415"/>
      <c r="O1062" s="415"/>
    </row>
    <row r="1063" s="278" customFormat="1" ht="20" customHeight="1" spans="1:15">
      <c r="A1063" s="438">
        <v>2200508</v>
      </c>
      <c r="B1063" s="422" t="s">
        <v>962</v>
      </c>
      <c r="C1063" s="307">
        <v>0</v>
      </c>
      <c r="D1063" s="343"/>
      <c r="E1063" s="307">
        <v>0</v>
      </c>
      <c r="F1063" s="414"/>
      <c r="G1063" s="346">
        <f t="shared" si="367"/>
        <v>0</v>
      </c>
      <c r="H1063" s="414"/>
      <c r="I1063" s="343"/>
      <c r="J1063" s="307">
        <f t="shared" si="368"/>
        <v>0</v>
      </c>
      <c r="K1063" s="306"/>
      <c r="M1063" s="278">
        <f t="shared" si="364"/>
        <v>0</v>
      </c>
      <c r="N1063" s="415"/>
      <c r="O1063" s="415"/>
    </row>
    <row r="1064" s="278" customFormat="1" ht="20" customHeight="1" spans="1:15">
      <c r="A1064" s="438">
        <v>2200509</v>
      </c>
      <c r="B1064" s="422" t="s">
        <v>963</v>
      </c>
      <c r="C1064" s="307">
        <v>0</v>
      </c>
      <c r="D1064" s="343"/>
      <c r="E1064" s="307">
        <v>0</v>
      </c>
      <c r="F1064" s="414"/>
      <c r="G1064" s="346">
        <f t="shared" si="367"/>
        <v>0</v>
      </c>
      <c r="H1064" s="414"/>
      <c r="I1064" s="343"/>
      <c r="J1064" s="307">
        <f t="shared" si="368"/>
        <v>0</v>
      </c>
      <c r="K1064" s="306"/>
      <c r="M1064" s="278">
        <f t="shared" si="364"/>
        <v>0</v>
      </c>
      <c r="N1064" s="415"/>
      <c r="O1064" s="415"/>
    </row>
    <row r="1065" customFormat="1" ht="20" customHeight="1" spans="1:15">
      <c r="A1065" s="438">
        <v>2200510</v>
      </c>
      <c r="B1065" s="239" t="s">
        <v>964</v>
      </c>
      <c r="C1065" s="307">
        <v>0</v>
      </c>
      <c r="D1065" s="343"/>
      <c r="E1065" s="307">
        <v>0</v>
      </c>
      <c r="F1065" s="414"/>
      <c r="G1065" s="346">
        <f t="shared" si="367"/>
        <v>0</v>
      </c>
      <c r="H1065" s="414"/>
      <c r="I1065" s="343"/>
      <c r="J1065" s="307">
        <f t="shared" si="368"/>
        <v>0</v>
      </c>
      <c r="K1065" s="306"/>
      <c r="M1065">
        <f t="shared" si="364"/>
        <v>0</v>
      </c>
      <c r="N1065" s="415"/>
      <c r="O1065" s="415"/>
    </row>
    <row r="1066" customFormat="1" ht="20" customHeight="1" spans="1:15">
      <c r="A1066" s="438">
        <v>2200511</v>
      </c>
      <c r="B1066" s="239" t="s">
        <v>965</v>
      </c>
      <c r="C1066" s="307">
        <v>0</v>
      </c>
      <c r="D1066" s="343"/>
      <c r="E1066" s="307">
        <v>0</v>
      </c>
      <c r="F1066" s="414"/>
      <c r="G1066" s="346">
        <f t="shared" si="367"/>
        <v>0</v>
      </c>
      <c r="H1066" s="414"/>
      <c r="I1066" s="343"/>
      <c r="J1066" s="307">
        <f t="shared" si="368"/>
        <v>0</v>
      </c>
      <c r="K1066" s="306"/>
      <c r="M1066">
        <f t="shared" si="364"/>
        <v>0</v>
      </c>
      <c r="N1066" s="415"/>
      <c r="O1066" s="415"/>
    </row>
    <row r="1067" customFormat="1" ht="20" customHeight="1" spans="1:15">
      <c r="A1067" s="438">
        <v>2200512</v>
      </c>
      <c r="B1067" s="239" t="s">
        <v>966</v>
      </c>
      <c r="C1067" s="307">
        <v>0</v>
      </c>
      <c r="D1067" s="343"/>
      <c r="E1067" s="307">
        <v>0</v>
      </c>
      <c r="F1067" s="414"/>
      <c r="G1067" s="346">
        <f t="shared" si="367"/>
        <v>0</v>
      </c>
      <c r="H1067" s="414"/>
      <c r="I1067" s="343"/>
      <c r="J1067" s="307">
        <f t="shared" si="368"/>
        <v>0</v>
      </c>
      <c r="K1067" s="306"/>
      <c r="M1067">
        <f t="shared" si="364"/>
        <v>0</v>
      </c>
      <c r="N1067" s="415"/>
      <c r="O1067" s="415"/>
    </row>
    <row r="1068" customFormat="1" ht="20" customHeight="1" spans="1:15">
      <c r="A1068" s="438">
        <v>2200513</v>
      </c>
      <c r="B1068" s="239" t="s">
        <v>967</v>
      </c>
      <c r="C1068" s="307">
        <v>0</v>
      </c>
      <c r="D1068" s="343"/>
      <c r="E1068" s="307">
        <v>0</v>
      </c>
      <c r="F1068" s="414"/>
      <c r="G1068" s="346">
        <f t="shared" si="367"/>
        <v>0</v>
      </c>
      <c r="H1068" s="414"/>
      <c r="I1068" s="343"/>
      <c r="J1068" s="307">
        <f t="shared" si="368"/>
        <v>0</v>
      </c>
      <c r="K1068" s="306"/>
      <c r="M1068">
        <f t="shared" si="364"/>
        <v>0</v>
      </c>
      <c r="N1068" s="415"/>
      <c r="O1068" s="415"/>
    </row>
    <row r="1069" customFormat="1" ht="20" customHeight="1" spans="1:15">
      <c r="A1069" s="438">
        <v>2200514</v>
      </c>
      <c r="B1069" s="239" t="s">
        <v>968</v>
      </c>
      <c r="C1069" s="307">
        <v>0</v>
      </c>
      <c r="D1069" s="343"/>
      <c r="E1069" s="307">
        <v>0</v>
      </c>
      <c r="F1069" s="414"/>
      <c r="G1069" s="346">
        <f t="shared" si="367"/>
        <v>0</v>
      </c>
      <c r="H1069" s="414"/>
      <c r="I1069" s="343"/>
      <c r="J1069" s="307">
        <f t="shared" si="368"/>
        <v>0</v>
      </c>
      <c r="K1069" s="306"/>
      <c r="M1069">
        <f t="shared" si="364"/>
        <v>0</v>
      </c>
      <c r="N1069" s="415"/>
      <c r="O1069" s="415"/>
    </row>
    <row r="1070" customFormat="1" ht="20" customHeight="1" spans="1:15">
      <c r="A1070" s="438">
        <v>2200599</v>
      </c>
      <c r="B1070" s="239" t="s">
        <v>969</v>
      </c>
      <c r="C1070" s="307">
        <v>0</v>
      </c>
      <c r="D1070" s="343"/>
      <c r="E1070" s="307">
        <v>0</v>
      </c>
      <c r="F1070" s="414"/>
      <c r="G1070" s="346">
        <f t="shared" si="367"/>
        <v>0</v>
      </c>
      <c r="H1070" s="414"/>
      <c r="I1070" s="343"/>
      <c r="J1070" s="307">
        <f t="shared" si="368"/>
        <v>0</v>
      </c>
      <c r="K1070" s="306"/>
      <c r="M1070">
        <f t="shared" si="364"/>
        <v>0</v>
      </c>
      <c r="N1070" s="415"/>
      <c r="O1070" s="415"/>
    </row>
    <row r="1071" customFormat="1" ht="20" customHeight="1" spans="1:15">
      <c r="A1071" s="437">
        <v>22099</v>
      </c>
      <c r="B1071" s="427" t="s">
        <v>970</v>
      </c>
      <c r="C1071" s="343">
        <v>0</v>
      </c>
      <c r="D1071" s="343"/>
      <c r="E1071" s="343">
        <v>0</v>
      </c>
      <c r="F1071" s="414"/>
      <c r="G1071" s="346">
        <f t="shared" si="367"/>
        <v>0</v>
      </c>
      <c r="H1071" s="414"/>
      <c r="I1071" s="343"/>
      <c r="J1071" s="307">
        <f t="shared" si="368"/>
        <v>0</v>
      </c>
      <c r="K1071" s="306"/>
      <c r="M1071">
        <f t="shared" si="364"/>
        <v>0</v>
      </c>
      <c r="N1071" s="415"/>
      <c r="O1071" s="415"/>
    </row>
    <row r="1072" s="278" customFormat="1" ht="20" customHeight="1" spans="1:15">
      <c r="A1072" s="412">
        <v>221</v>
      </c>
      <c r="B1072" s="413" t="s">
        <v>971</v>
      </c>
      <c r="C1072" s="346">
        <f>SUM(C1073:C1093)/2</f>
        <v>17082.737581</v>
      </c>
      <c r="D1072" s="346">
        <f t="shared" ref="D1072:I1072" si="382">SUM(D1073:D1093)/2</f>
        <v>9187.65259</v>
      </c>
      <c r="E1072" s="346">
        <f t="shared" si="382"/>
        <v>9929</v>
      </c>
      <c r="F1072" s="414">
        <f t="shared" ref="F1072:F1076" si="383">E1072/D1072*100</f>
        <v>108.068953443091</v>
      </c>
      <c r="G1072" s="346">
        <f t="shared" si="367"/>
        <v>-7153.737581</v>
      </c>
      <c r="H1072" s="414">
        <f t="shared" ref="H1072:H1076" si="384">G1072/C1072*100</f>
        <v>-41.8769974489137</v>
      </c>
      <c r="I1072" s="346">
        <f t="shared" si="382"/>
        <v>14046.867809</v>
      </c>
      <c r="J1072" s="307">
        <f t="shared" si="368"/>
        <v>4859.215219</v>
      </c>
      <c r="K1072" s="306">
        <f t="shared" ref="K1072:K1076" si="385">J1072/D1072*100</f>
        <v>52.8885389537786</v>
      </c>
      <c r="M1072" s="278">
        <f t="shared" si="364"/>
        <v>0</v>
      </c>
      <c r="N1072" s="415"/>
      <c r="O1072" s="415"/>
    </row>
    <row r="1073" customFormat="1" ht="20" customHeight="1" spans="1:17">
      <c r="A1073" s="437">
        <v>22101</v>
      </c>
      <c r="B1073" s="427" t="s">
        <v>972</v>
      </c>
      <c r="C1073" s="343">
        <f>SUM(C1074:C1085)</f>
        <v>7665.10045</v>
      </c>
      <c r="D1073" s="343">
        <f t="shared" ref="D1073:I1073" si="386">SUM(D1074:D1085)</f>
        <v>349.80455</v>
      </c>
      <c r="E1073" s="343">
        <f t="shared" si="386"/>
        <v>684</v>
      </c>
      <c r="F1073" s="414">
        <f t="shared" si="383"/>
        <v>195.53776530351</v>
      </c>
      <c r="G1073" s="346">
        <f t="shared" si="367"/>
        <v>-6981.10045</v>
      </c>
      <c r="H1073" s="414">
        <f t="shared" si="384"/>
        <v>-91.0764378828199</v>
      </c>
      <c r="I1073" s="343">
        <f t="shared" si="386"/>
        <v>3979.73</v>
      </c>
      <c r="J1073" s="307">
        <f t="shared" si="368"/>
        <v>3629.92545</v>
      </c>
      <c r="K1073" s="306">
        <f t="shared" si="385"/>
        <v>1037.70103905166</v>
      </c>
      <c r="M1073">
        <f t="shared" si="364"/>
        <v>0</v>
      </c>
      <c r="N1073" s="415"/>
      <c r="O1073" s="415"/>
    </row>
    <row r="1074" s="278" customFormat="1" ht="20" customHeight="1" spans="1:17">
      <c r="A1074" s="438">
        <v>2210101</v>
      </c>
      <c r="B1074" s="422" t="s">
        <v>973</v>
      </c>
      <c r="C1074" s="331">
        <v>0</v>
      </c>
      <c r="D1074" s="343"/>
      <c r="E1074" s="331">
        <v>0</v>
      </c>
      <c r="F1074" s="414"/>
      <c r="G1074" s="346">
        <f t="shared" si="367"/>
        <v>0</v>
      </c>
      <c r="H1074" s="414"/>
      <c r="I1074" s="343"/>
      <c r="J1074" s="307">
        <f t="shared" si="368"/>
        <v>0</v>
      </c>
      <c r="K1074" s="306"/>
      <c r="M1074" s="278">
        <f t="shared" si="364"/>
        <v>0</v>
      </c>
      <c r="N1074" s="415"/>
      <c r="O1074" s="415"/>
    </row>
    <row r="1075" s="278" customFormat="1" ht="20" customHeight="1" spans="1:17">
      <c r="A1075" s="438">
        <v>2210102</v>
      </c>
      <c r="B1075" s="422" t="s">
        <v>974</v>
      </c>
      <c r="C1075" s="331">
        <v>0</v>
      </c>
      <c r="D1075" s="343"/>
      <c r="E1075" s="331">
        <v>0</v>
      </c>
      <c r="F1075" s="414"/>
      <c r="G1075" s="346">
        <f t="shared" si="367"/>
        <v>0</v>
      </c>
      <c r="H1075" s="414"/>
      <c r="I1075" s="343"/>
      <c r="J1075" s="307">
        <f t="shared" si="368"/>
        <v>0</v>
      </c>
      <c r="K1075" s="306"/>
      <c r="M1075" s="278">
        <f t="shared" si="364"/>
        <v>0</v>
      </c>
      <c r="N1075" s="415"/>
      <c r="O1075" s="415"/>
    </row>
    <row r="1076" s="278" customFormat="1" ht="20" customHeight="1" spans="1:17">
      <c r="A1076" s="438">
        <v>2210103</v>
      </c>
      <c r="B1076" s="422" t="s">
        <v>975</v>
      </c>
      <c r="C1076" s="331">
        <v>4201.12247</v>
      </c>
      <c r="D1076" s="343">
        <v>111.64753</v>
      </c>
      <c r="E1076" s="331">
        <v>102</v>
      </c>
      <c r="F1076" s="414">
        <f t="shared" si="383"/>
        <v>91.3589400499948</v>
      </c>
      <c r="G1076" s="346">
        <f t="shared" si="367"/>
        <v>-4099.12247</v>
      </c>
      <c r="H1076" s="414">
        <f t="shared" si="384"/>
        <v>-97.5720774452928</v>
      </c>
      <c r="I1076" s="343">
        <f>19.94+873</f>
        <v>892.94</v>
      </c>
      <c r="J1076" s="307">
        <f t="shared" si="368"/>
        <v>781.29247</v>
      </c>
      <c r="K1076" s="306">
        <f t="shared" si="385"/>
        <v>699.784822825906</v>
      </c>
      <c r="M1076" s="278">
        <f t="shared" si="364"/>
        <v>0</v>
      </c>
      <c r="N1076" s="415"/>
      <c r="O1076" s="415"/>
      <c r="P1076" s="278">
        <v>28</v>
      </c>
      <c r="Q1076" s="278">
        <v>202</v>
      </c>
    </row>
    <row r="1077" s="278" customFormat="1" ht="20" customHeight="1" spans="1:17">
      <c r="A1077" s="438">
        <v>2210104</v>
      </c>
      <c r="B1077" s="422" t="s">
        <v>976</v>
      </c>
      <c r="C1077" s="331">
        <v>0</v>
      </c>
      <c r="D1077" s="343"/>
      <c r="E1077" s="331"/>
      <c r="F1077" s="414"/>
      <c r="G1077" s="346">
        <f t="shared" si="367"/>
        <v>0</v>
      </c>
      <c r="H1077" s="414"/>
      <c r="I1077" s="343"/>
      <c r="J1077" s="307">
        <f t="shared" si="368"/>
        <v>0</v>
      </c>
      <c r="K1077" s="306"/>
      <c r="M1077" s="278">
        <f t="shared" ref="M1077:M1083" si="387">N1077+O1077</f>
        <v>0</v>
      </c>
      <c r="N1077" s="415"/>
      <c r="O1077" s="415"/>
    </row>
    <row r="1078" s="278" customFormat="1" ht="20" customHeight="1" spans="1:17">
      <c r="A1078" s="438">
        <v>2210105</v>
      </c>
      <c r="B1078" s="422" t="s">
        <v>977</v>
      </c>
      <c r="C1078" s="331">
        <v>177.4</v>
      </c>
      <c r="D1078" s="343">
        <v>124.51</v>
      </c>
      <c r="E1078" s="331">
        <v>241</v>
      </c>
      <c r="F1078" s="414">
        <f t="shared" ref="F1078:F1081" si="388">E1078/D1078*100</f>
        <v>193.558750301181</v>
      </c>
      <c r="G1078" s="346">
        <f t="shared" si="367"/>
        <v>63.6</v>
      </c>
      <c r="H1078" s="414">
        <f t="shared" ref="H1078:H1081" si="389">G1078/C1078*100</f>
        <v>35.8511837655017</v>
      </c>
      <c r="I1078" s="343">
        <v>61.13</v>
      </c>
      <c r="J1078" s="307">
        <f t="shared" si="368"/>
        <v>-63.38</v>
      </c>
      <c r="K1078" s="306">
        <f t="shared" ref="K1078:K1081" si="390">J1078/D1078*100</f>
        <v>-50.903541884186</v>
      </c>
      <c r="M1078" s="278">
        <f t="shared" si="387"/>
        <v>0</v>
      </c>
      <c r="N1078" s="415"/>
      <c r="O1078" s="415"/>
      <c r="P1078" s="278">
        <v>124</v>
      </c>
    </row>
    <row r="1079" s="278" customFormat="1" ht="20" customHeight="1" spans="1:17">
      <c r="A1079" s="438">
        <v>2210106</v>
      </c>
      <c r="B1079" s="422" t="s">
        <v>978</v>
      </c>
      <c r="C1079" s="331">
        <v>0</v>
      </c>
      <c r="D1079" s="343"/>
      <c r="E1079" s="331"/>
      <c r="F1079" s="414"/>
      <c r="G1079" s="346">
        <f t="shared" si="367"/>
        <v>0</v>
      </c>
      <c r="H1079" s="414"/>
      <c r="I1079" s="343"/>
      <c r="J1079" s="307">
        <f t="shared" si="368"/>
        <v>0</v>
      </c>
      <c r="K1079" s="306"/>
      <c r="M1079" s="278">
        <f t="shared" si="387"/>
        <v>0</v>
      </c>
      <c r="N1079" s="415"/>
      <c r="O1079" s="415"/>
    </row>
    <row r="1080" s="278" customFormat="1" ht="20" customHeight="1" spans="1:17">
      <c r="A1080" s="438">
        <v>2210107</v>
      </c>
      <c r="B1080" s="422" t="s">
        <v>979</v>
      </c>
      <c r="C1080" s="307">
        <v>30.7742</v>
      </c>
      <c r="D1080" s="343">
        <v>4.2608</v>
      </c>
      <c r="E1080" s="307"/>
      <c r="F1080" s="414">
        <f t="shared" si="388"/>
        <v>0</v>
      </c>
      <c r="G1080" s="346">
        <f t="shared" si="367"/>
        <v>-30.7742</v>
      </c>
      <c r="H1080" s="414">
        <f t="shared" si="389"/>
        <v>-100</v>
      </c>
      <c r="I1080" s="343"/>
      <c r="J1080" s="307">
        <f t="shared" si="368"/>
        <v>-4.2608</v>
      </c>
      <c r="K1080" s="306">
        <f t="shared" si="390"/>
        <v>-100</v>
      </c>
      <c r="M1080" s="278">
        <f t="shared" si="387"/>
        <v>0</v>
      </c>
      <c r="N1080" s="415"/>
      <c r="O1080" s="415"/>
      <c r="P1080" s="278">
        <v>23</v>
      </c>
      <c r="Q1080" s="278">
        <v>3</v>
      </c>
    </row>
    <row r="1081" s="278" customFormat="1" ht="20" customHeight="1" spans="1:17">
      <c r="A1081" s="438">
        <v>2210108</v>
      </c>
      <c r="B1081" s="422" t="s">
        <v>980</v>
      </c>
      <c r="C1081" s="307">
        <v>1407.30378</v>
      </c>
      <c r="D1081" s="343">
        <v>109.38622</v>
      </c>
      <c r="E1081" s="307">
        <v>316</v>
      </c>
      <c r="F1081" s="414">
        <f t="shared" si="388"/>
        <v>288.884651101391</v>
      </c>
      <c r="G1081" s="346">
        <f t="shared" si="367"/>
        <v>-1091.30378</v>
      </c>
      <c r="H1081" s="414">
        <f t="shared" si="389"/>
        <v>-77.5457151120563</v>
      </c>
      <c r="I1081" s="343">
        <f>52.1+981.04</f>
        <v>1033.14</v>
      </c>
      <c r="J1081" s="307">
        <f t="shared" si="368"/>
        <v>923.75378</v>
      </c>
      <c r="K1081" s="306">
        <f t="shared" si="390"/>
        <v>844.488254553453</v>
      </c>
      <c r="M1081" s="278">
        <f t="shared" si="387"/>
        <v>0</v>
      </c>
      <c r="N1081" s="415"/>
      <c r="O1081" s="415"/>
      <c r="P1081" s="278">
        <v>586</v>
      </c>
      <c r="Q1081" s="278">
        <v>2117</v>
      </c>
    </row>
    <row r="1082" s="278" customFormat="1" ht="20" customHeight="1" spans="1:17">
      <c r="A1082" s="438">
        <v>2210109</v>
      </c>
      <c r="B1082" s="422" t="s">
        <v>981</v>
      </c>
      <c r="C1082" s="307">
        <v>0</v>
      </c>
      <c r="D1082" s="343"/>
      <c r="E1082" s="307"/>
      <c r="F1082" s="414"/>
      <c r="G1082" s="346">
        <f t="shared" si="367"/>
        <v>0</v>
      </c>
      <c r="H1082" s="414"/>
      <c r="I1082" s="343"/>
      <c r="J1082" s="307">
        <f t="shared" si="368"/>
        <v>0</v>
      </c>
      <c r="K1082" s="306"/>
      <c r="M1082" s="278">
        <f t="shared" si="387"/>
        <v>0</v>
      </c>
      <c r="N1082" s="415"/>
      <c r="O1082" s="415"/>
    </row>
    <row r="1083" s="278" customFormat="1" ht="20" customHeight="1" spans="1:17">
      <c r="A1083" s="438">
        <v>2210110</v>
      </c>
      <c r="B1083" s="422" t="s">
        <v>982</v>
      </c>
      <c r="C1083" s="307">
        <v>27.5</v>
      </c>
      <c r="D1083" s="343"/>
      <c r="E1083" s="307"/>
      <c r="F1083" s="414"/>
      <c r="G1083" s="346">
        <f t="shared" si="367"/>
        <v>-27.5</v>
      </c>
      <c r="H1083" s="414">
        <f t="shared" ref="H1083:H1087" si="391">G1083/C1083*100</f>
        <v>-100</v>
      </c>
      <c r="I1083" s="343"/>
      <c r="J1083" s="307">
        <f t="shared" si="368"/>
        <v>0</v>
      </c>
      <c r="K1083" s="306"/>
      <c r="M1083" s="278">
        <f t="shared" si="387"/>
        <v>0</v>
      </c>
      <c r="N1083" s="415"/>
      <c r="O1083" s="415"/>
      <c r="Q1083" s="278">
        <v>164</v>
      </c>
    </row>
    <row r="1084" s="278" customFormat="1" ht="20" customHeight="1" spans="1:17">
      <c r="A1084" s="438" t="s">
        <v>983</v>
      </c>
      <c r="B1084" s="422" t="s">
        <v>984</v>
      </c>
      <c r="C1084" s="307"/>
      <c r="D1084" s="343"/>
      <c r="E1084" s="307">
        <v>25</v>
      </c>
      <c r="F1084" s="414"/>
      <c r="G1084" s="346">
        <f t="shared" si="367"/>
        <v>25</v>
      </c>
      <c r="H1084" s="414"/>
      <c r="I1084" s="343">
        <v>1992.52</v>
      </c>
      <c r="J1084" s="307">
        <f t="shared" si="368"/>
        <v>1992.52</v>
      </c>
      <c r="K1084" s="306"/>
      <c r="N1084" s="415"/>
      <c r="O1084" s="415"/>
    </row>
    <row r="1085" s="278" customFormat="1" ht="20" customHeight="1" spans="1:17">
      <c r="A1085" s="438">
        <v>2210199</v>
      </c>
      <c r="B1085" s="422" t="s">
        <v>985</v>
      </c>
      <c r="C1085" s="331">
        <v>1821</v>
      </c>
      <c r="D1085" s="343"/>
      <c r="E1085" s="331"/>
      <c r="F1085" s="414"/>
      <c r="G1085" s="346">
        <f t="shared" si="367"/>
        <v>-1821</v>
      </c>
      <c r="H1085" s="414">
        <f t="shared" si="391"/>
        <v>-100</v>
      </c>
      <c r="I1085" s="343"/>
      <c r="J1085" s="307">
        <f t="shared" si="368"/>
        <v>0</v>
      </c>
      <c r="K1085" s="306"/>
      <c r="M1085" s="278">
        <f t="shared" ref="M1085:M1148" si="392">N1085+O1085</f>
        <v>0</v>
      </c>
      <c r="N1085" s="415"/>
      <c r="O1085" s="415"/>
    </row>
    <row r="1086" customFormat="1" ht="20" customHeight="1" spans="1:17">
      <c r="A1086" s="437">
        <v>22102</v>
      </c>
      <c r="B1086" s="427" t="s">
        <v>986</v>
      </c>
      <c r="C1086" s="371">
        <f>SUM(C1087:C1089)</f>
        <v>9138.604587</v>
      </c>
      <c r="D1086" s="371">
        <f t="shared" ref="D1086:I1086" si="393">SUM(D1087:D1089)</f>
        <v>8693.524459</v>
      </c>
      <c r="E1086" s="371">
        <f t="shared" si="393"/>
        <v>8976</v>
      </c>
      <c r="F1086" s="414">
        <f t="shared" ref="F1086:F1090" si="394">E1086/D1086*100</f>
        <v>103.249263774804</v>
      </c>
      <c r="G1086" s="346">
        <f t="shared" ref="G1086:G1149" si="395">E1086-C1086</f>
        <v>-162.604587</v>
      </c>
      <c r="H1086" s="414">
        <f t="shared" si="391"/>
        <v>-1.77931527129766</v>
      </c>
      <c r="I1086" s="371">
        <f t="shared" si="393"/>
        <v>9821.52</v>
      </c>
      <c r="J1086" s="307">
        <f t="shared" si="368"/>
        <v>1127.995541</v>
      </c>
      <c r="K1086" s="306">
        <f t="shared" ref="K1086:K1090" si="396">J1086/D1086*100</f>
        <v>12.9751235683502</v>
      </c>
      <c r="M1086">
        <f t="shared" si="392"/>
        <v>0</v>
      </c>
      <c r="N1086" s="415"/>
      <c r="O1086" s="415"/>
    </row>
    <row r="1087" s="278" customFormat="1" ht="20" customHeight="1" spans="1:17">
      <c r="A1087" s="438">
        <v>2210201</v>
      </c>
      <c r="B1087" s="422" t="s">
        <v>987</v>
      </c>
      <c r="C1087" s="307">
        <v>9138.604587</v>
      </c>
      <c r="D1087" s="343">
        <f>8693.524459</f>
        <v>8693.524459</v>
      </c>
      <c r="E1087" s="307">
        <v>8976</v>
      </c>
      <c r="F1087" s="414">
        <f t="shared" si="394"/>
        <v>103.249263774804</v>
      </c>
      <c r="G1087" s="346">
        <f t="shared" si="395"/>
        <v>-162.604587</v>
      </c>
      <c r="H1087" s="414">
        <f t="shared" si="391"/>
        <v>-1.77931527129766</v>
      </c>
      <c r="I1087" s="343">
        <v>9821.52</v>
      </c>
      <c r="J1087" s="307">
        <f t="shared" si="368"/>
        <v>1127.995541</v>
      </c>
      <c r="K1087" s="306">
        <f t="shared" si="396"/>
        <v>12.9751235683502</v>
      </c>
      <c r="M1087" s="278">
        <f t="shared" si="392"/>
        <v>8867</v>
      </c>
      <c r="N1087" s="415">
        <v>8867</v>
      </c>
      <c r="O1087" s="415"/>
    </row>
    <row r="1088" customFormat="1" ht="20" customHeight="1" spans="1:17">
      <c r="A1088" s="438">
        <v>2210202</v>
      </c>
      <c r="B1088" s="239" t="s">
        <v>988</v>
      </c>
      <c r="C1088" s="307">
        <v>0</v>
      </c>
      <c r="D1088" s="343"/>
      <c r="E1088" s="307">
        <v>0</v>
      </c>
      <c r="F1088" s="414"/>
      <c r="G1088" s="346">
        <f t="shared" si="395"/>
        <v>0</v>
      </c>
      <c r="H1088" s="414"/>
      <c r="I1088" s="343"/>
      <c r="J1088" s="307">
        <f t="shared" si="368"/>
        <v>0</v>
      </c>
      <c r="K1088" s="306"/>
      <c r="M1088">
        <f t="shared" si="392"/>
        <v>0</v>
      </c>
      <c r="N1088" s="415"/>
      <c r="O1088" s="415"/>
    </row>
    <row r="1089" customFormat="1" ht="20" customHeight="1" spans="1:16">
      <c r="A1089" s="438">
        <v>2210203</v>
      </c>
      <c r="B1089" s="239" t="s">
        <v>989</v>
      </c>
      <c r="C1089" s="307">
        <v>0</v>
      </c>
      <c r="D1089" s="343"/>
      <c r="E1089" s="307">
        <v>0</v>
      </c>
      <c r="F1089" s="414"/>
      <c r="G1089" s="346">
        <f t="shared" si="395"/>
        <v>0</v>
      </c>
      <c r="H1089" s="414"/>
      <c r="I1089" s="343"/>
      <c r="J1089" s="307">
        <f t="shared" si="368"/>
        <v>0</v>
      </c>
      <c r="K1089" s="306"/>
      <c r="M1089">
        <f t="shared" si="392"/>
        <v>0</v>
      </c>
      <c r="N1089" s="415"/>
      <c r="O1089" s="415"/>
    </row>
    <row r="1090" customFormat="1" ht="20" customHeight="1" spans="1:16">
      <c r="A1090" s="437">
        <v>22103</v>
      </c>
      <c r="B1090" s="427" t="s">
        <v>990</v>
      </c>
      <c r="C1090" s="371">
        <f>SUM(C1091:C1093)</f>
        <v>279.032544</v>
      </c>
      <c r="D1090" s="371">
        <f t="shared" ref="D1090:I1090" si="397">SUM(D1091:D1093)</f>
        <v>144.323581</v>
      </c>
      <c r="E1090" s="371">
        <f t="shared" si="397"/>
        <v>269</v>
      </c>
      <c r="F1090" s="414">
        <f t="shared" si="394"/>
        <v>186.386727751718</v>
      </c>
      <c r="G1090" s="346">
        <f t="shared" si="395"/>
        <v>-10.032544</v>
      </c>
      <c r="H1090" s="414">
        <f t="shared" ref="H1090:H1095" si="398">G1090/C1090*100</f>
        <v>-3.59547451210565</v>
      </c>
      <c r="I1090" s="371">
        <f t="shared" si="397"/>
        <v>245.617809</v>
      </c>
      <c r="J1090" s="307">
        <f t="shared" si="368"/>
        <v>101.294228</v>
      </c>
      <c r="K1090" s="306">
        <f t="shared" si="396"/>
        <v>70.1855007325518</v>
      </c>
      <c r="M1090">
        <f t="shared" si="392"/>
        <v>0</v>
      </c>
      <c r="N1090" s="415"/>
      <c r="O1090" s="415"/>
    </row>
    <row r="1091" customFormat="1" ht="20" customHeight="1" spans="1:16">
      <c r="A1091" s="440">
        <v>2210301</v>
      </c>
      <c r="B1091" s="239" t="s">
        <v>991</v>
      </c>
      <c r="C1091" s="307">
        <v>0</v>
      </c>
      <c r="D1091" s="343"/>
      <c r="E1091" s="307">
        <v>0</v>
      </c>
      <c r="F1091" s="414"/>
      <c r="G1091" s="346">
        <f t="shared" si="395"/>
        <v>0</v>
      </c>
      <c r="H1091" s="414"/>
      <c r="I1091" s="343"/>
      <c r="J1091" s="307">
        <f t="shared" si="368"/>
        <v>0</v>
      </c>
      <c r="K1091" s="306"/>
      <c r="M1091">
        <f t="shared" si="392"/>
        <v>0</v>
      </c>
      <c r="N1091" s="415"/>
      <c r="O1091" s="415"/>
    </row>
    <row r="1092" customFormat="1" ht="20" customHeight="1" spans="1:16">
      <c r="A1092" s="440">
        <v>2210302</v>
      </c>
      <c r="B1092" s="239" t="s">
        <v>992</v>
      </c>
      <c r="C1092" s="307">
        <v>0</v>
      </c>
      <c r="D1092" s="343"/>
      <c r="E1092" s="307">
        <v>0</v>
      </c>
      <c r="F1092" s="414"/>
      <c r="G1092" s="346">
        <f t="shared" si="395"/>
        <v>0</v>
      </c>
      <c r="H1092" s="414"/>
      <c r="I1092" s="343"/>
      <c r="J1092" s="307">
        <f t="shared" si="368"/>
        <v>0</v>
      </c>
      <c r="K1092" s="306"/>
      <c r="M1092">
        <f t="shared" si="392"/>
        <v>0</v>
      </c>
      <c r="N1092" s="415"/>
      <c r="O1092" s="415"/>
    </row>
    <row r="1093" customFormat="1" ht="20" customHeight="1" spans="1:16">
      <c r="A1093" s="440">
        <v>2210399</v>
      </c>
      <c r="B1093" s="239" t="s">
        <v>993</v>
      </c>
      <c r="C1093" s="307">
        <v>279.032544</v>
      </c>
      <c r="D1093" s="425">
        <v>144.323581</v>
      </c>
      <c r="E1093" s="307">
        <v>269</v>
      </c>
      <c r="F1093" s="414">
        <f t="shared" ref="F1093:F1096" si="399">E1093/D1093*100</f>
        <v>186.386727751718</v>
      </c>
      <c r="G1093" s="346">
        <f t="shared" si="395"/>
        <v>-10.032544</v>
      </c>
      <c r="H1093" s="414">
        <f t="shared" si="398"/>
        <v>-3.59547451210565</v>
      </c>
      <c r="I1093" s="420">
        <v>245.617809</v>
      </c>
      <c r="J1093" s="307">
        <f t="shared" si="368"/>
        <v>101.294228</v>
      </c>
      <c r="K1093" s="306">
        <f t="shared" ref="K1093:K1096" si="400">J1093/D1093*100</f>
        <v>70.1855007325518</v>
      </c>
      <c r="M1093">
        <f t="shared" si="392"/>
        <v>184</v>
      </c>
      <c r="N1093" s="415">
        <v>184</v>
      </c>
      <c r="O1093" s="415"/>
    </row>
    <row r="1094" s="278" customFormat="1" ht="20" customHeight="1" spans="1:16">
      <c r="A1094" s="412">
        <v>222</v>
      </c>
      <c r="B1094" s="413" t="s">
        <v>994</v>
      </c>
      <c r="C1094" s="346">
        <f>SUM(C1095:C1135)/2</f>
        <v>223.886514</v>
      </c>
      <c r="D1094" s="346">
        <f t="shared" ref="D1094:I1094" si="401">SUM(D1095:D1135)/2</f>
        <v>838.412666</v>
      </c>
      <c r="E1094" s="346">
        <f t="shared" si="401"/>
        <v>33</v>
      </c>
      <c r="F1094" s="414">
        <f t="shared" si="399"/>
        <v>3.93600923963141</v>
      </c>
      <c r="G1094" s="346">
        <f t="shared" si="395"/>
        <v>-190.886514</v>
      </c>
      <c r="H1094" s="414">
        <f t="shared" si="398"/>
        <v>-85.2603895561123</v>
      </c>
      <c r="I1094" s="346">
        <f t="shared" si="401"/>
        <v>0</v>
      </c>
      <c r="J1094" s="307">
        <f t="shared" ref="J1094:J1157" si="402">I1094-D1094</f>
        <v>-838.412666</v>
      </c>
      <c r="K1094" s="306">
        <f t="shared" si="400"/>
        <v>-100</v>
      </c>
      <c r="M1094" s="278">
        <f t="shared" si="392"/>
        <v>0</v>
      </c>
      <c r="N1094" s="415"/>
      <c r="O1094" s="415"/>
    </row>
    <row r="1095" customFormat="1" ht="20" customHeight="1" spans="1:16">
      <c r="A1095" s="437">
        <v>22201</v>
      </c>
      <c r="B1095" s="427" t="s">
        <v>995</v>
      </c>
      <c r="C1095" s="343">
        <f>SUM(C1096:C1109)</f>
        <v>23.886514</v>
      </c>
      <c r="D1095" s="343">
        <f t="shared" ref="D1095:I1095" si="403">SUM(D1096:D1109)</f>
        <v>818.596</v>
      </c>
      <c r="E1095" s="343">
        <f t="shared" si="403"/>
        <v>13</v>
      </c>
      <c r="F1095" s="414">
        <f t="shared" si="399"/>
        <v>1.58808496498883</v>
      </c>
      <c r="G1095" s="346">
        <f t="shared" si="395"/>
        <v>-10.886514</v>
      </c>
      <c r="H1095" s="414">
        <f t="shared" si="398"/>
        <v>-45.5759848423257</v>
      </c>
      <c r="I1095" s="343">
        <f t="shared" si="403"/>
        <v>0</v>
      </c>
      <c r="J1095" s="307">
        <f t="shared" si="402"/>
        <v>-818.596</v>
      </c>
      <c r="K1095" s="306">
        <f t="shared" si="400"/>
        <v>-100</v>
      </c>
      <c r="M1095">
        <f t="shared" si="392"/>
        <v>0</v>
      </c>
      <c r="N1095" s="415"/>
      <c r="O1095" s="415"/>
    </row>
    <row r="1096" s="278" customFormat="1" ht="20" customHeight="1" spans="1:16">
      <c r="A1096" s="438">
        <v>2220101</v>
      </c>
      <c r="B1096" s="422" t="s">
        <v>731</v>
      </c>
      <c r="C1096" s="331">
        <v>0</v>
      </c>
      <c r="D1096" s="425">
        <v>81.096</v>
      </c>
      <c r="E1096" s="331">
        <v>0</v>
      </c>
      <c r="F1096" s="414">
        <f t="shared" si="399"/>
        <v>0</v>
      </c>
      <c r="G1096" s="346">
        <f t="shared" si="395"/>
        <v>0</v>
      </c>
      <c r="H1096" s="414"/>
      <c r="I1096" s="425"/>
      <c r="J1096" s="307">
        <f t="shared" si="402"/>
        <v>-81.096</v>
      </c>
      <c r="K1096" s="306">
        <f t="shared" si="400"/>
        <v>-100</v>
      </c>
      <c r="M1096" s="278">
        <f t="shared" si="392"/>
        <v>0</v>
      </c>
      <c r="N1096" s="415"/>
      <c r="O1096" s="415"/>
    </row>
    <row r="1097" s="278" customFormat="1" ht="20" customHeight="1" spans="1:16">
      <c r="A1097" s="438">
        <v>2220102</v>
      </c>
      <c r="B1097" s="422" t="s">
        <v>732</v>
      </c>
      <c r="C1097" s="331">
        <v>4.49504</v>
      </c>
      <c r="D1097" s="343"/>
      <c r="E1097" s="331"/>
      <c r="F1097" s="414"/>
      <c r="G1097" s="346">
        <f t="shared" si="395"/>
        <v>-4.49504</v>
      </c>
      <c r="H1097" s="414">
        <f>G1097/C1097*100</f>
        <v>-100</v>
      </c>
      <c r="I1097" s="343"/>
      <c r="J1097" s="307">
        <f t="shared" si="402"/>
        <v>0</v>
      </c>
      <c r="K1097" s="306"/>
      <c r="M1097" s="278">
        <f t="shared" si="392"/>
        <v>5</v>
      </c>
      <c r="N1097" s="415">
        <v>5</v>
      </c>
      <c r="O1097" s="415"/>
    </row>
    <row r="1098" s="278" customFormat="1" ht="20" customHeight="1" spans="1:16">
      <c r="A1098" s="438">
        <v>2220103</v>
      </c>
      <c r="B1098" s="422" t="s">
        <v>733</v>
      </c>
      <c r="C1098" s="331">
        <v>0</v>
      </c>
      <c r="D1098" s="343"/>
      <c r="E1098" s="331">
        <v>0</v>
      </c>
      <c r="F1098" s="414"/>
      <c r="G1098" s="346">
        <f t="shared" si="395"/>
        <v>0</v>
      </c>
      <c r="H1098" s="414"/>
      <c r="I1098" s="343"/>
      <c r="J1098" s="307">
        <f t="shared" si="402"/>
        <v>0</v>
      </c>
      <c r="K1098" s="306"/>
      <c r="M1098" s="278">
        <f t="shared" si="392"/>
        <v>0</v>
      </c>
      <c r="N1098" s="415"/>
      <c r="O1098" s="415"/>
    </row>
    <row r="1099" s="278" customFormat="1" ht="20" customHeight="1" spans="1:16">
      <c r="A1099" s="438">
        <v>2220104</v>
      </c>
      <c r="B1099" s="422" t="s">
        <v>996</v>
      </c>
      <c r="C1099" s="307">
        <v>0</v>
      </c>
      <c r="D1099" s="343"/>
      <c r="E1099" s="307">
        <v>0</v>
      </c>
      <c r="F1099" s="414"/>
      <c r="G1099" s="346">
        <f t="shared" si="395"/>
        <v>0</v>
      </c>
      <c r="H1099" s="414"/>
      <c r="I1099" s="343"/>
      <c r="J1099" s="307">
        <f t="shared" si="402"/>
        <v>0</v>
      </c>
      <c r="K1099" s="306"/>
      <c r="M1099" s="278">
        <f t="shared" si="392"/>
        <v>0</v>
      </c>
      <c r="N1099" s="415"/>
      <c r="O1099" s="415"/>
    </row>
    <row r="1100" s="278" customFormat="1" ht="20" customHeight="1" spans="1:16">
      <c r="A1100" s="438">
        <v>2220105</v>
      </c>
      <c r="B1100" s="422" t="s">
        <v>997</v>
      </c>
      <c r="C1100" s="307">
        <v>0</v>
      </c>
      <c r="D1100" s="343"/>
      <c r="E1100" s="307">
        <v>0</v>
      </c>
      <c r="F1100" s="414"/>
      <c r="G1100" s="346">
        <f t="shared" si="395"/>
        <v>0</v>
      </c>
      <c r="H1100" s="414"/>
      <c r="I1100" s="343"/>
      <c r="J1100" s="307">
        <f t="shared" si="402"/>
        <v>0</v>
      </c>
      <c r="K1100" s="306"/>
      <c r="M1100" s="278">
        <f t="shared" si="392"/>
        <v>0</v>
      </c>
      <c r="N1100" s="415"/>
      <c r="O1100" s="415"/>
    </row>
    <row r="1101" customFormat="1" ht="20" customHeight="1" spans="1:16">
      <c r="A1101" s="438">
        <v>2220106</v>
      </c>
      <c r="B1101" s="239" t="s">
        <v>998</v>
      </c>
      <c r="C1101" s="307">
        <v>14.2</v>
      </c>
      <c r="D1101" s="343">
        <v>12.5</v>
      </c>
      <c r="E1101" s="307">
        <v>12</v>
      </c>
      <c r="F1101" s="414">
        <f>E1101/D1101*100</f>
        <v>96</v>
      </c>
      <c r="G1101" s="346">
        <f t="shared" si="395"/>
        <v>-2.2</v>
      </c>
      <c r="H1101" s="414">
        <f>G1101/C1101*100</f>
        <v>-15.4929577464789</v>
      </c>
      <c r="I1101" s="343"/>
      <c r="J1101" s="307">
        <f t="shared" si="402"/>
        <v>-12.5</v>
      </c>
      <c r="K1101" s="306">
        <f>J1101/D1101*100</f>
        <v>-100</v>
      </c>
      <c r="M1101">
        <f t="shared" si="392"/>
        <v>0</v>
      </c>
      <c r="N1101" s="415"/>
      <c r="O1101" s="415"/>
      <c r="P1101">
        <v>14</v>
      </c>
    </row>
    <row r="1102" customFormat="1" ht="20" customHeight="1" spans="1:16">
      <c r="A1102" s="438">
        <v>2220107</v>
      </c>
      <c r="B1102" s="239" t="s">
        <v>999</v>
      </c>
      <c r="C1102" s="307">
        <v>0</v>
      </c>
      <c r="D1102" s="343"/>
      <c r="E1102" s="307">
        <v>0</v>
      </c>
      <c r="F1102" s="414"/>
      <c r="G1102" s="346">
        <f t="shared" si="395"/>
        <v>0</v>
      </c>
      <c r="H1102" s="414"/>
      <c r="I1102" s="343"/>
      <c r="J1102" s="307">
        <f t="shared" si="402"/>
        <v>0</v>
      </c>
      <c r="K1102" s="306"/>
      <c r="M1102">
        <f t="shared" si="392"/>
        <v>0</v>
      </c>
      <c r="N1102" s="415"/>
      <c r="O1102" s="415"/>
    </row>
    <row r="1103" customFormat="1" ht="20" customHeight="1" spans="1:16">
      <c r="A1103" s="438">
        <v>2220112</v>
      </c>
      <c r="B1103" s="239" t="s">
        <v>1000</v>
      </c>
      <c r="C1103" s="307">
        <v>0</v>
      </c>
      <c r="D1103" s="343"/>
      <c r="E1103" s="307">
        <v>0</v>
      </c>
      <c r="F1103" s="414"/>
      <c r="G1103" s="346">
        <f t="shared" si="395"/>
        <v>0</v>
      </c>
      <c r="H1103" s="414"/>
      <c r="I1103" s="343"/>
      <c r="J1103" s="307">
        <f t="shared" si="402"/>
        <v>0</v>
      </c>
      <c r="K1103" s="306"/>
      <c r="M1103">
        <f t="shared" si="392"/>
        <v>0</v>
      </c>
      <c r="N1103" s="415"/>
      <c r="O1103" s="415"/>
    </row>
    <row r="1104" customFormat="1" ht="20" customHeight="1" spans="1:16">
      <c r="A1104" s="438">
        <v>2220113</v>
      </c>
      <c r="B1104" s="239" t="s">
        <v>1001</v>
      </c>
      <c r="C1104" s="307">
        <v>0</v>
      </c>
      <c r="D1104" s="343"/>
      <c r="E1104" s="307">
        <v>0</v>
      </c>
      <c r="F1104" s="414"/>
      <c r="G1104" s="346">
        <f t="shared" si="395"/>
        <v>0</v>
      </c>
      <c r="H1104" s="414"/>
      <c r="I1104" s="343"/>
      <c r="J1104" s="307">
        <f t="shared" si="402"/>
        <v>0</v>
      </c>
      <c r="K1104" s="306"/>
      <c r="M1104">
        <f t="shared" si="392"/>
        <v>0</v>
      </c>
      <c r="N1104" s="415"/>
      <c r="O1104" s="415"/>
    </row>
    <row r="1105" customFormat="1" ht="20" customHeight="1" spans="1:16">
      <c r="A1105" s="438">
        <v>2220114</v>
      </c>
      <c r="B1105" s="239" t="s">
        <v>1002</v>
      </c>
      <c r="C1105" s="307">
        <v>0</v>
      </c>
      <c r="D1105" s="343"/>
      <c r="E1105" s="307">
        <v>0</v>
      </c>
      <c r="F1105" s="414"/>
      <c r="G1105" s="346">
        <f t="shared" si="395"/>
        <v>0</v>
      </c>
      <c r="H1105" s="414"/>
      <c r="I1105" s="343"/>
      <c r="J1105" s="307">
        <f t="shared" si="402"/>
        <v>0</v>
      </c>
      <c r="K1105" s="306"/>
      <c r="M1105">
        <f t="shared" si="392"/>
        <v>0</v>
      </c>
      <c r="N1105" s="415"/>
      <c r="O1105" s="415"/>
    </row>
    <row r="1106" customFormat="1" ht="20" customHeight="1" spans="1:16">
      <c r="A1106" s="438">
        <v>2220115</v>
      </c>
      <c r="B1106" s="239" t="s">
        <v>1003</v>
      </c>
      <c r="C1106" s="307">
        <v>0</v>
      </c>
      <c r="D1106" s="343"/>
      <c r="E1106" s="307">
        <v>0</v>
      </c>
      <c r="F1106" s="414"/>
      <c r="G1106" s="346">
        <f t="shared" si="395"/>
        <v>0</v>
      </c>
      <c r="H1106" s="414"/>
      <c r="I1106" s="343"/>
      <c r="J1106" s="307">
        <f t="shared" si="402"/>
        <v>0</v>
      </c>
      <c r="K1106" s="306"/>
      <c r="M1106">
        <f t="shared" si="392"/>
        <v>0</v>
      </c>
      <c r="N1106" s="415"/>
      <c r="O1106" s="415"/>
    </row>
    <row r="1107" customFormat="1" ht="20" customHeight="1" spans="1:16">
      <c r="A1107" s="438">
        <v>2220118</v>
      </c>
      <c r="B1107" s="239" t="s">
        <v>1004</v>
      </c>
      <c r="C1107" s="307">
        <v>0</v>
      </c>
      <c r="D1107" s="343"/>
      <c r="E1107" s="307">
        <v>0</v>
      </c>
      <c r="F1107" s="414"/>
      <c r="G1107" s="346">
        <f t="shared" si="395"/>
        <v>0</v>
      </c>
      <c r="H1107" s="414"/>
      <c r="I1107" s="343"/>
      <c r="J1107" s="307">
        <f t="shared" si="402"/>
        <v>0</v>
      </c>
      <c r="K1107" s="306"/>
      <c r="M1107">
        <f t="shared" si="392"/>
        <v>0</v>
      </c>
      <c r="N1107" s="415"/>
      <c r="O1107" s="415"/>
    </row>
    <row r="1108" customFormat="1" ht="20" customHeight="1" spans="1:16">
      <c r="A1108" s="438">
        <v>2220150</v>
      </c>
      <c r="B1108" s="239" t="s">
        <v>750</v>
      </c>
      <c r="C1108" s="307">
        <v>0</v>
      </c>
      <c r="D1108" s="343"/>
      <c r="E1108" s="307">
        <v>0</v>
      </c>
      <c r="F1108" s="414"/>
      <c r="G1108" s="346">
        <f t="shared" si="395"/>
        <v>0</v>
      </c>
      <c r="H1108" s="414"/>
      <c r="I1108" s="343"/>
      <c r="J1108" s="307">
        <f t="shared" si="402"/>
        <v>0</v>
      </c>
      <c r="K1108" s="306"/>
      <c r="M1108">
        <f t="shared" si="392"/>
        <v>0</v>
      </c>
      <c r="N1108" s="415"/>
      <c r="O1108" s="415"/>
    </row>
    <row r="1109" customFormat="1" ht="20" customHeight="1" spans="1:16">
      <c r="A1109" s="438">
        <v>2220199</v>
      </c>
      <c r="B1109" s="239" t="s">
        <v>1005</v>
      </c>
      <c r="C1109" s="307">
        <v>5.191474</v>
      </c>
      <c r="D1109" s="425">
        <f>1+724</f>
        <v>725</v>
      </c>
      <c r="E1109" s="307">
        <v>1</v>
      </c>
      <c r="F1109" s="414">
        <f>E1109/D1109*100</f>
        <v>0.137931034482759</v>
      </c>
      <c r="G1109" s="346">
        <f t="shared" si="395"/>
        <v>-4.191474</v>
      </c>
      <c r="H1109" s="414">
        <f>G1109/C1109*100</f>
        <v>-80.7376479204172</v>
      </c>
      <c r="I1109" s="425"/>
      <c r="J1109" s="307">
        <f t="shared" si="402"/>
        <v>-725</v>
      </c>
      <c r="K1109" s="306">
        <f>J1109/D1109*100</f>
        <v>-100</v>
      </c>
      <c r="M1109">
        <f t="shared" si="392"/>
        <v>5</v>
      </c>
      <c r="N1109" s="415">
        <v>5</v>
      </c>
      <c r="O1109" s="415"/>
    </row>
    <row r="1110" customFormat="1" ht="20" customHeight="1" spans="1:16">
      <c r="A1110" s="437">
        <v>22203</v>
      </c>
      <c r="B1110" s="427" t="s">
        <v>1006</v>
      </c>
      <c r="C1110" s="343">
        <v>0</v>
      </c>
      <c r="D1110" s="343"/>
      <c r="E1110" s="343">
        <v>0</v>
      </c>
      <c r="F1110" s="414"/>
      <c r="G1110" s="346">
        <f t="shared" si="395"/>
        <v>0</v>
      </c>
      <c r="H1110" s="414"/>
      <c r="I1110" s="343"/>
      <c r="J1110" s="307">
        <f t="shared" si="402"/>
        <v>0</v>
      </c>
      <c r="K1110" s="306"/>
      <c r="M1110">
        <f t="shared" si="392"/>
        <v>0</v>
      </c>
      <c r="N1110" s="415"/>
      <c r="O1110" s="415"/>
    </row>
    <row r="1111" customFormat="1" ht="20" customHeight="1" spans="1:16">
      <c r="A1111" s="440">
        <v>2220301</v>
      </c>
      <c r="B1111" s="239" t="s">
        <v>1007</v>
      </c>
      <c r="C1111" s="343">
        <v>0</v>
      </c>
      <c r="D1111" s="343"/>
      <c r="E1111" s="343">
        <v>0</v>
      </c>
      <c r="F1111" s="414"/>
      <c r="G1111" s="346">
        <f t="shared" si="395"/>
        <v>0</v>
      </c>
      <c r="H1111" s="414"/>
      <c r="I1111" s="343"/>
      <c r="J1111" s="307">
        <f t="shared" si="402"/>
        <v>0</v>
      </c>
      <c r="K1111" s="306"/>
      <c r="M1111">
        <f t="shared" si="392"/>
        <v>0</v>
      </c>
      <c r="N1111" s="415"/>
      <c r="O1111" s="415"/>
    </row>
    <row r="1112" customFormat="1" ht="20" customHeight="1" spans="1:16">
      <c r="A1112" s="440">
        <v>2220303</v>
      </c>
      <c r="B1112" s="239" t="s">
        <v>1008</v>
      </c>
      <c r="C1112" s="343">
        <v>0</v>
      </c>
      <c r="D1112" s="343"/>
      <c r="E1112" s="343">
        <v>0</v>
      </c>
      <c r="F1112" s="414"/>
      <c r="G1112" s="346">
        <f t="shared" si="395"/>
        <v>0</v>
      </c>
      <c r="H1112" s="414"/>
      <c r="I1112" s="343"/>
      <c r="J1112" s="307">
        <f t="shared" si="402"/>
        <v>0</v>
      </c>
      <c r="K1112" s="306"/>
      <c r="M1112">
        <f t="shared" si="392"/>
        <v>0</v>
      </c>
      <c r="N1112" s="415"/>
      <c r="O1112" s="415"/>
    </row>
    <row r="1113" customFormat="1" ht="20" customHeight="1" spans="1:16">
      <c r="A1113" s="440">
        <v>2220304</v>
      </c>
      <c r="B1113" s="239" t="s">
        <v>1009</v>
      </c>
      <c r="C1113" s="343">
        <v>0</v>
      </c>
      <c r="D1113" s="343"/>
      <c r="E1113" s="343">
        <v>0</v>
      </c>
      <c r="F1113" s="414"/>
      <c r="G1113" s="346">
        <f t="shared" si="395"/>
        <v>0</v>
      </c>
      <c r="H1113" s="414"/>
      <c r="I1113" s="343"/>
      <c r="J1113" s="307">
        <f t="shared" si="402"/>
        <v>0</v>
      </c>
      <c r="K1113" s="306"/>
      <c r="M1113">
        <f t="shared" si="392"/>
        <v>0</v>
      </c>
      <c r="N1113" s="415"/>
      <c r="O1113" s="415"/>
    </row>
    <row r="1114" customFormat="1" ht="20" customHeight="1" spans="1:16">
      <c r="A1114" s="440">
        <v>2220305</v>
      </c>
      <c r="B1114" s="239" t="s">
        <v>1010</v>
      </c>
      <c r="C1114" s="343">
        <v>0</v>
      </c>
      <c r="D1114" s="343"/>
      <c r="E1114" s="343">
        <v>0</v>
      </c>
      <c r="F1114" s="414"/>
      <c r="G1114" s="346">
        <f t="shared" si="395"/>
        <v>0</v>
      </c>
      <c r="H1114" s="414"/>
      <c r="I1114" s="343"/>
      <c r="J1114" s="307">
        <f t="shared" si="402"/>
        <v>0</v>
      </c>
      <c r="K1114" s="306"/>
      <c r="M1114">
        <f t="shared" si="392"/>
        <v>0</v>
      </c>
      <c r="N1114" s="415"/>
      <c r="O1114" s="415"/>
    </row>
    <row r="1115" customFormat="1" ht="20" customHeight="1" spans="1:16">
      <c r="A1115" s="440">
        <v>2220306</v>
      </c>
      <c r="B1115" s="239" t="s">
        <v>1011</v>
      </c>
      <c r="C1115" s="343">
        <v>0</v>
      </c>
      <c r="D1115" s="343"/>
      <c r="E1115" s="343">
        <v>0</v>
      </c>
      <c r="F1115" s="414"/>
      <c r="G1115" s="346">
        <f t="shared" si="395"/>
        <v>0</v>
      </c>
      <c r="H1115" s="414"/>
      <c r="I1115" s="343"/>
      <c r="J1115" s="307">
        <f t="shared" si="402"/>
        <v>0</v>
      </c>
      <c r="K1115" s="306"/>
      <c r="M1115">
        <f t="shared" si="392"/>
        <v>0</v>
      </c>
      <c r="N1115" s="415"/>
      <c r="O1115" s="415"/>
    </row>
    <row r="1116" customFormat="1" ht="20" customHeight="1" spans="1:16">
      <c r="A1116" s="440">
        <v>2220399</v>
      </c>
      <c r="B1116" s="239" t="s">
        <v>1012</v>
      </c>
      <c r="C1116" s="343">
        <v>0</v>
      </c>
      <c r="D1116" s="343"/>
      <c r="E1116" s="343">
        <v>0</v>
      </c>
      <c r="F1116" s="414"/>
      <c r="G1116" s="346">
        <f t="shared" si="395"/>
        <v>0</v>
      </c>
      <c r="H1116" s="414"/>
      <c r="I1116" s="343"/>
      <c r="J1116" s="307">
        <f t="shared" si="402"/>
        <v>0</v>
      </c>
      <c r="K1116" s="306"/>
      <c r="M1116">
        <f t="shared" si="392"/>
        <v>0</v>
      </c>
      <c r="N1116" s="415"/>
      <c r="O1116" s="415"/>
    </row>
    <row r="1117" customFormat="1" ht="20" customHeight="1" spans="1:16">
      <c r="A1117" s="437">
        <v>22204</v>
      </c>
      <c r="B1117" s="427" t="s">
        <v>1013</v>
      </c>
      <c r="C1117" s="371">
        <f>SUM(C1118:C1122)</f>
        <v>200</v>
      </c>
      <c r="D1117" s="371">
        <f t="shared" ref="D1117:I1117" si="404">SUM(D1118:D1122)</f>
        <v>19.816666</v>
      </c>
      <c r="E1117" s="371">
        <f t="shared" si="404"/>
        <v>20</v>
      </c>
      <c r="F1117" s="414">
        <f>E1117/D1117*100</f>
        <v>100.925150577802</v>
      </c>
      <c r="G1117" s="346">
        <f t="shared" si="395"/>
        <v>-180</v>
      </c>
      <c r="H1117" s="414">
        <f>G1117/C1117*100</f>
        <v>-90</v>
      </c>
      <c r="I1117" s="371">
        <f t="shared" si="404"/>
        <v>0</v>
      </c>
      <c r="J1117" s="307">
        <f t="shared" si="402"/>
        <v>-19.816666</v>
      </c>
      <c r="K1117" s="306">
        <f>J1117/D1117*100</f>
        <v>-100</v>
      </c>
      <c r="M1117">
        <f t="shared" si="392"/>
        <v>0</v>
      </c>
      <c r="N1117" s="415"/>
      <c r="O1117" s="415"/>
    </row>
    <row r="1118" customFormat="1" ht="20" customHeight="1" spans="1:16">
      <c r="A1118" s="440">
        <v>2220401</v>
      </c>
      <c r="B1118" s="239" t="s">
        <v>1014</v>
      </c>
      <c r="C1118" s="343">
        <v>0</v>
      </c>
      <c r="D1118" s="343"/>
      <c r="E1118" s="343">
        <v>0</v>
      </c>
      <c r="F1118" s="414"/>
      <c r="G1118" s="346">
        <f t="shared" si="395"/>
        <v>0</v>
      </c>
      <c r="H1118" s="414"/>
      <c r="I1118" s="343"/>
      <c r="J1118" s="307">
        <f t="shared" si="402"/>
        <v>0</v>
      </c>
      <c r="K1118" s="306"/>
      <c r="M1118">
        <f t="shared" si="392"/>
        <v>0</v>
      </c>
      <c r="N1118" s="415"/>
      <c r="O1118" s="415"/>
    </row>
    <row r="1119" customFormat="1" ht="20" customHeight="1" spans="1:16">
      <c r="A1119" s="440">
        <v>2220402</v>
      </c>
      <c r="B1119" s="239" t="s">
        <v>1015</v>
      </c>
      <c r="C1119" s="343">
        <v>0</v>
      </c>
      <c r="D1119" s="343"/>
      <c r="E1119" s="343">
        <v>0</v>
      </c>
      <c r="F1119" s="414"/>
      <c r="G1119" s="346">
        <f t="shared" si="395"/>
        <v>0</v>
      </c>
      <c r="H1119" s="414"/>
      <c r="I1119" s="343"/>
      <c r="J1119" s="307">
        <f t="shared" si="402"/>
        <v>0</v>
      </c>
      <c r="K1119" s="306"/>
      <c r="M1119">
        <f t="shared" si="392"/>
        <v>0</v>
      </c>
      <c r="N1119" s="415"/>
      <c r="O1119" s="415"/>
    </row>
    <row r="1120" customFormat="1" ht="20" customHeight="1" spans="1:16">
      <c r="A1120" s="440">
        <v>2220403</v>
      </c>
      <c r="B1120" s="239" t="s">
        <v>1016</v>
      </c>
      <c r="C1120" s="343">
        <v>200</v>
      </c>
      <c r="D1120" s="343"/>
      <c r="E1120" s="343"/>
      <c r="F1120" s="414"/>
      <c r="G1120" s="346">
        <f t="shared" si="395"/>
        <v>-200</v>
      </c>
      <c r="H1120" s="414">
        <f>G1120/C1120*100</f>
        <v>-100</v>
      </c>
      <c r="I1120" s="343"/>
      <c r="J1120" s="307">
        <f t="shared" si="402"/>
        <v>0</v>
      </c>
      <c r="K1120" s="306"/>
      <c r="M1120">
        <f t="shared" si="392"/>
        <v>0</v>
      </c>
      <c r="N1120" s="415"/>
      <c r="O1120" s="415"/>
      <c r="P1120">
        <v>150</v>
      </c>
    </row>
    <row r="1121" customFormat="1" ht="20" customHeight="1" spans="1:16">
      <c r="A1121" s="440">
        <v>2220404</v>
      </c>
      <c r="B1121" s="239" t="s">
        <v>1017</v>
      </c>
      <c r="C1121" s="343">
        <v>0</v>
      </c>
      <c r="D1121" s="343"/>
      <c r="E1121" s="343">
        <v>0</v>
      </c>
      <c r="F1121" s="414"/>
      <c r="G1121" s="346">
        <f t="shared" si="395"/>
        <v>0</v>
      </c>
      <c r="H1121" s="414"/>
      <c r="I1121" s="343"/>
      <c r="J1121" s="307">
        <f t="shared" si="402"/>
        <v>0</v>
      </c>
      <c r="K1121" s="306"/>
      <c r="M1121">
        <f t="shared" si="392"/>
        <v>0</v>
      </c>
      <c r="N1121" s="415"/>
      <c r="O1121" s="415"/>
    </row>
    <row r="1122" customFormat="1" ht="20" customHeight="1" spans="1:16">
      <c r="A1122" s="440">
        <v>2220499</v>
      </c>
      <c r="B1122" s="239" t="s">
        <v>1018</v>
      </c>
      <c r="C1122" s="343">
        <v>0</v>
      </c>
      <c r="D1122" s="425">
        <v>19.816666</v>
      </c>
      <c r="E1122" s="343">
        <v>20</v>
      </c>
      <c r="F1122" s="414">
        <f>E1122/D1122*100</f>
        <v>100.925150577802</v>
      </c>
      <c r="G1122" s="346">
        <f t="shared" si="395"/>
        <v>20</v>
      </c>
      <c r="H1122" s="414"/>
      <c r="I1122" s="425"/>
      <c r="J1122" s="307">
        <f t="shared" si="402"/>
        <v>-19.816666</v>
      </c>
      <c r="K1122" s="306">
        <f>J1122/D1122*100</f>
        <v>-100</v>
      </c>
      <c r="M1122">
        <f t="shared" si="392"/>
        <v>0</v>
      </c>
      <c r="N1122" s="415"/>
      <c r="O1122" s="415"/>
    </row>
    <row r="1123" customFormat="1" ht="20" customHeight="1" spans="1:16">
      <c r="A1123" s="437">
        <v>22205</v>
      </c>
      <c r="B1123" s="427" t="s">
        <v>1019</v>
      </c>
      <c r="C1123" s="343">
        <v>0</v>
      </c>
      <c r="D1123" s="343"/>
      <c r="E1123" s="343">
        <v>0</v>
      </c>
      <c r="F1123" s="414"/>
      <c r="G1123" s="346">
        <f t="shared" si="395"/>
        <v>0</v>
      </c>
      <c r="H1123" s="414"/>
      <c r="I1123" s="343"/>
      <c r="J1123" s="307">
        <f t="shared" si="402"/>
        <v>0</v>
      </c>
      <c r="K1123" s="306"/>
      <c r="M1123">
        <f t="shared" si="392"/>
        <v>0</v>
      </c>
      <c r="N1123" s="415"/>
      <c r="O1123" s="415"/>
    </row>
    <row r="1124" customFormat="1" ht="20" customHeight="1" spans="1:16">
      <c r="A1124" s="440">
        <v>2220501</v>
      </c>
      <c r="B1124" s="239" t="s">
        <v>1020</v>
      </c>
      <c r="C1124" s="307">
        <v>0</v>
      </c>
      <c r="D1124" s="343"/>
      <c r="E1124" s="307">
        <v>0</v>
      </c>
      <c r="F1124" s="414"/>
      <c r="G1124" s="346">
        <f t="shared" si="395"/>
        <v>0</v>
      </c>
      <c r="H1124" s="414"/>
      <c r="I1124" s="343"/>
      <c r="J1124" s="307">
        <f t="shared" si="402"/>
        <v>0</v>
      </c>
      <c r="K1124" s="306"/>
      <c r="M1124">
        <f t="shared" si="392"/>
        <v>0</v>
      </c>
      <c r="N1124" s="415"/>
      <c r="O1124" s="415"/>
    </row>
    <row r="1125" customFormat="1" ht="20" customHeight="1" spans="1:16">
      <c r="A1125" s="440">
        <v>2220502</v>
      </c>
      <c r="B1125" s="239" t="s">
        <v>1021</v>
      </c>
      <c r="C1125" s="307">
        <v>0</v>
      </c>
      <c r="D1125" s="343"/>
      <c r="E1125" s="307">
        <v>0</v>
      </c>
      <c r="F1125" s="414"/>
      <c r="G1125" s="346">
        <f t="shared" si="395"/>
        <v>0</v>
      </c>
      <c r="H1125" s="414"/>
      <c r="I1125" s="343"/>
      <c r="J1125" s="307">
        <f t="shared" si="402"/>
        <v>0</v>
      </c>
      <c r="K1125" s="306"/>
      <c r="M1125">
        <f t="shared" si="392"/>
        <v>0</v>
      </c>
      <c r="N1125" s="415"/>
      <c r="O1125" s="415"/>
      <c r="P1125">
        <v>22</v>
      </c>
    </row>
    <row r="1126" customFormat="1" ht="20" customHeight="1" spans="1:16">
      <c r="A1126" s="440">
        <v>2220503</v>
      </c>
      <c r="B1126" s="239" t="s">
        <v>1022</v>
      </c>
      <c r="C1126" s="307">
        <v>0</v>
      </c>
      <c r="D1126" s="343"/>
      <c r="E1126" s="307">
        <v>0</v>
      </c>
      <c r="F1126" s="414"/>
      <c r="G1126" s="346">
        <f t="shared" si="395"/>
        <v>0</v>
      </c>
      <c r="H1126" s="414"/>
      <c r="I1126" s="343"/>
      <c r="J1126" s="307">
        <f t="shared" si="402"/>
        <v>0</v>
      </c>
      <c r="K1126" s="306"/>
      <c r="M1126">
        <f t="shared" si="392"/>
        <v>0</v>
      </c>
      <c r="N1126" s="415"/>
      <c r="O1126" s="415"/>
    </row>
    <row r="1127" customFormat="1" ht="20" customHeight="1" spans="1:16">
      <c r="A1127" s="440">
        <v>2220504</v>
      </c>
      <c r="B1127" s="239" t="s">
        <v>1023</v>
      </c>
      <c r="C1127" s="307">
        <v>0</v>
      </c>
      <c r="D1127" s="343"/>
      <c r="E1127" s="307">
        <v>0</v>
      </c>
      <c r="F1127" s="414"/>
      <c r="G1127" s="346">
        <f t="shared" si="395"/>
        <v>0</v>
      </c>
      <c r="H1127" s="414"/>
      <c r="I1127" s="343"/>
      <c r="J1127" s="307">
        <f t="shared" si="402"/>
        <v>0</v>
      </c>
      <c r="K1127" s="306"/>
      <c r="M1127">
        <f t="shared" si="392"/>
        <v>0</v>
      </c>
      <c r="N1127" s="415"/>
      <c r="O1127" s="415"/>
    </row>
    <row r="1128" customFormat="1" ht="20" customHeight="1" spans="1:16">
      <c r="A1128" s="440">
        <v>2220505</v>
      </c>
      <c r="B1128" s="239" t="s">
        <v>1024</v>
      </c>
      <c r="C1128" s="307">
        <v>0</v>
      </c>
      <c r="D1128" s="343"/>
      <c r="E1128" s="307">
        <v>0</v>
      </c>
      <c r="F1128" s="414"/>
      <c r="G1128" s="346">
        <f t="shared" si="395"/>
        <v>0</v>
      </c>
      <c r="H1128" s="414"/>
      <c r="I1128" s="343"/>
      <c r="J1128" s="307">
        <f t="shared" si="402"/>
        <v>0</v>
      </c>
      <c r="K1128" s="306"/>
      <c r="M1128">
        <f t="shared" si="392"/>
        <v>0</v>
      </c>
      <c r="N1128" s="415"/>
      <c r="O1128" s="415"/>
    </row>
    <row r="1129" customFormat="1" ht="20" customHeight="1" spans="1:16">
      <c r="A1129" s="440">
        <v>2220506</v>
      </c>
      <c r="B1129" s="239" t="s">
        <v>1025</v>
      </c>
      <c r="C1129" s="307">
        <v>0</v>
      </c>
      <c r="D1129" s="343"/>
      <c r="E1129" s="307">
        <v>0</v>
      </c>
      <c r="F1129" s="414"/>
      <c r="G1129" s="346">
        <f t="shared" si="395"/>
        <v>0</v>
      </c>
      <c r="H1129" s="414"/>
      <c r="I1129" s="343"/>
      <c r="J1129" s="307">
        <f t="shared" si="402"/>
        <v>0</v>
      </c>
      <c r="K1129" s="306"/>
      <c r="M1129">
        <f t="shared" si="392"/>
        <v>0</v>
      </c>
      <c r="N1129" s="415"/>
      <c r="O1129" s="415"/>
    </row>
    <row r="1130" customFormat="1" ht="20" customHeight="1" spans="1:16">
      <c r="A1130" s="440">
        <v>2220507</v>
      </c>
      <c r="B1130" s="239" t="s">
        <v>1026</v>
      </c>
      <c r="C1130" s="307">
        <v>0</v>
      </c>
      <c r="D1130" s="343"/>
      <c r="E1130" s="307">
        <v>0</v>
      </c>
      <c r="F1130" s="414"/>
      <c r="G1130" s="346">
        <f t="shared" si="395"/>
        <v>0</v>
      </c>
      <c r="H1130" s="414"/>
      <c r="I1130" s="343"/>
      <c r="J1130" s="307">
        <f t="shared" si="402"/>
        <v>0</v>
      </c>
      <c r="K1130" s="306"/>
      <c r="M1130">
        <f t="shared" si="392"/>
        <v>0</v>
      </c>
      <c r="N1130" s="415"/>
      <c r="O1130" s="415"/>
    </row>
    <row r="1131" customFormat="1" ht="20" customHeight="1" spans="1:16">
      <c r="A1131" s="440">
        <v>2220508</v>
      </c>
      <c r="B1131" s="239" t="s">
        <v>1027</v>
      </c>
      <c r="C1131" s="307">
        <v>0</v>
      </c>
      <c r="D1131" s="343"/>
      <c r="E1131" s="307">
        <v>0</v>
      </c>
      <c r="F1131" s="414"/>
      <c r="G1131" s="346">
        <f t="shared" si="395"/>
        <v>0</v>
      </c>
      <c r="H1131" s="414"/>
      <c r="I1131" s="343"/>
      <c r="J1131" s="307">
        <f t="shared" si="402"/>
        <v>0</v>
      </c>
      <c r="K1131" s="306"/>
      <c r="M1131">
        <f t="shared" si="392"/>
        <v>0</v>
      </c>
      <c r="N1131" s="415"/>
      <c r="O1131" s="415"/>
    </row>
    <row r="1132" customFormat="1" ht="20" customHeight="1" spans="1:16">
      <c r="A1132" s="440">
        <v>2220509</v>
      </c>
      <c r="B1132" s="239" t="s">
        <v>1028</v>
      </c>
      <c r="C1132" s="307">
        <v>0</v>
      </c>
      <c r="D1132" s="343"/>
      <c r="E1132" s="307">
        <v>0</v>
      </c>
      <c r="F1132" s="414"/>
      <c r="G1132" s="346">
        <f t="shared" si="395"/>
        <v>0</v>
      </c>
      <c r="H1132" s="414"/>
      <c r="I1132" s="343"/>
      <c r="J1132" s="307">
        <f t="shared" si="402"/>
        <v>0</v>
      </c>
      <c r="K1132" s="306"/>
      <c r="M1132">
        <f t="shared" si="392"/>
        <v>0</v>
      </c>
      <c r="N1132" s="415"/>
      <c r="O1132" s="415"/>
    </row>
    <row r="1133" customFormat="1" ht="20" customHeight="1" spans="1:16">
      <c r="A1133" s="440">
        <v>2220510</v>
      </c>
      <c r="B1133" s="239" t="s">
        <v>1029</v>
      </c>
      <c r="C1133" s="307">
        <v>0</v>
      </c>
      <c r="D1133" s="343"/>
      <c r="E1133" s="307">
        <v>0</v>
      </c>
      <c r="F1133" s="414"/>
      <c r="G1133" s="346">
        <f t="shared" si="395"/>
        <v>0</v>
      </c>
      <c r="H1133" s="414"/>
      <c r="I1133" s="343"/>
      <c r="J1133" s="307">
        <f t="shared" si="402"/>
        <v>0</v>
      </c>
      <c r="K1133" s="306"/>
      <c r="M1133">
        <f t="shared" si="392"/>
        <v>0</v>
      </c>
      <c r="N1133" s="415"/>
      <c r="O1133" s="415"/>
    </row>
    <row r="1134" customFormat="1" ht="20" customHeight="1" spans="1:16">
      <c r="A1134" s="440">
        <v>2220511</v>
      </c>
      <c r="B1134" s="239" t="s">
        <v>1030</v>
      </c>
      <c r="C1134" s="307">
        <v>0</v>
      </c>
      <c r="D1134" s="343"/>
      <c r="E1134" s="307">
        <v>0</v>
      </c>
      <c r="F1134" s="414"/>
      <c r="G1134" s="346">
        <f t="shared" si="395"/>
        <v>0</v>
      </c>
      <c r="H1134" s="414"/>
      <c r="I1134" s="343"/>
      <c r="J1134" s="307">
        <f t="shared" si="402"/>
        <v>0</v>
      </c>
      <c r="K1134" s="306"/>
      <c r="M1134">
        <f t="shared" si="392"/>
        <v>0</v>
      </c>
      <c r="N1134" s="415"/>
      <c r="O1134" s="415"/>
    </row>
    <row r="1135" customFormat="1" ht="20" customHeight="1" spans="1:16">
      <c r="A1135" s="440">
        <v>2220599</v>
      </c>
      <c r="B1135" s="239" t="s">
        <v>1031</v>
      </c>
      <c r="C1135" s="307">
        <v>0</v>
      </c>
      <c r="D1135" s="343"/>
      <c r="E1135" s="307">
        <v>0</v>
      </c>
      <c r="F1135" s="414"/>
      <c r="G1135" s="346">
        <f t="shared" si="395"/>
        <v>0</v>
      </c>
      <c r="H1135" s="414"/>
      <c r="I1135" s="343"/>
      <c r="J1135" s="307">
        <f t="shared" si="402"/>
        <v>0</v>
      </c>
      <c r="K1135" s="306"/>
      <c r="M1135">
        <f t="shared" si="392"/>
        <v>0</v>
      </c>
      <c r="N1135" s="415"/>
      <c r="O1135" s="415"/>
    </row>
    <row r="1136" s="278" customFormat="1" ht="20" customHeight="1" spans="1:16">
      <c r="A1136" s="412">
        <v>224</v>
      </c>
      <c r="B1136" s="413" t="s">
        <v>1032</v>
      </c>
      <c r="C1136" s="307">
        <f>SUM(C1137:C1183)/2+C1184</f>
        <v>4055.42706</v>
      </c>
      <c r="D1136" s="307">
        <f t="shared" ref="D1136:I1136" si="405">SUM(D1137:D1183)/2+D1184</f>
        <v>1006.641455</v>
      </c>
      <c r="E1136" s="307">
        <f t="shared" si="405"/>
        <v>1674</v>
      </c>
      <c r="F1136" s="414">
        <f t="shared" ref="F1136:F1139" si="406">E1136/D1136*100</f>
        <v>166.295555551107</v>
      </c>
      <c r="G1136" s="346">
        <f t="shared" si="395"/>
        <v>-2381.42706</v>
      </c>
      <c r="H1136" s="414">
        <f t="shared" ref="H1136:H1138" si="407">G1136/C1136*100</f>
        <v>-58.7219798252271</v>
      </c>
      <c r="I1136" s="442">
        <f t="shared" si="405"/>
        <v>1183.31144</v>
      </c>
      <c r="J1136" s="307">
        <f t="shared" si="402"/>
        <v>176.669985</v>
      </c>
      <c r="K1136" s="306">
        <f t="shared" ref="K1136:K1139" si="408">J1136/D1136*100</f>
        <v>17.5504380554246</v>
      </c>
      <c r="M1136" s="278">
        <f t="shared" si="392"/>
        <v>0</v>
      </c>
      <c r="N1136" s="415"/>
      <c r="O1136" s="415"/>
    </row>
    <row r="1137" customFormat="1" ht="20" customHeight="1" spans="1:17">
      <c r="A1137" s="437">
        <v>22401</v>
      </c>
      <c r="B1137" s="427" t="s">
        <v>1033</v>
      </c>
      <c r="C1137" s="343">
        <f>SUM(C1138:C1147)</f>
        <v>873.338281</v>
      </c>
      <c r="D1137" s="343">
        <f t="shared" ref="D1137:I1137" si="409">SUM(D1138:D1147)</f>
        <v>385.722117</v>
      </c>
      <c r="E1137" s="343">
        <f t="shared" si="409"/>
        <v>520</v>
      </c>
      <c r="F1137" s="414">
        <f t="shared" si="406"/>
        <v>134.812077680264</v>
      </c>
      <c r="G1137" s="346">
        <f t="shared" si="395"/>
        <v>-353.338281</v>
      </c>
      <c r="H1137" s="414">
        <f t="shared" si="407"/>
        <v>-40.4583525865162</v>
      </c>
      <c r="I1137" s="343">
        <f t="shared" si="409"/>
        <v>474.690962</v>
      </c>
      <c r="J1137" s="307">
        <f t="shared" si="402"/>
        <v>88.968845</v>
      </c>
      <c r="K1137" s="306">
        <f t="shared" si="408"/>
        <v>23.0655285447373</v>
      </c>
      <c r="M1137">
        <f t="shared" si="392"/>
        <v>0</v>
      </c>
      <c r="N1137" s="415"/>
      <c r="O1137" s="415"/>
    </row>
    <row r="1138" customFormat="1" ht="20" customHeight="1" spans="1:17">
      <c r="A1138" s="440">
        <v>2240101</v>
      </c>
      <c r="B1138" s="239" t="s">
        <v>731</v>
      </c>
      <c r="C1138" s="307">
        <v>437.293299</v>
      </c>
      <c r="D1138" s="425">
        <v>378.722117</v>
      </c>
      <c r="E1138" s="307">
        <v>505</v>
      </c>
      <c r="F1138" s="414">
        <f t="shared" si="406"/>
        <v>133.34314985359</v>
      </c>
      <c r="G1138" s="346">
        <f t="shared" si="395"/>
        <v>67.706701</v>
      </c>
      <c r="H1138" s="414">
        <f t="shared" si="407"/>
        <v>15.4831325233731</v>
      </c>
      <c r="I1138" s="420">
        <v>473.266462</v>
      </c>
      <c r="J1138" s="307">
        <f t="shared" si="402"/>
        <v>94.544345</v>
      </c>
      <c r="K1138" s="306">
        <f t="shared" si="408"/>
        <v>24.9640411151377</v>
      </c>
      <c r="M1138">
        <f t="shared" si="392"/>
        <v>428</v>
      </c>
      <c r="N1138" s="415">
        <v>428</v>
      </c>
      <c r="O1138" s="415"/>
    </row>
    <row r="1139" customFormat="1" ht="20" customHeight="1" spans="1:17">
      <c r="A1139" s="440">
        <v>2240102</v>
      </c>
      <c r="B1139" s="239" t="s">
        <v>732</v>
      </c>
      <c r="C1139" s="307">
        <v>0</v>
      </c>
      <c r="D1139" s="425">
        <v>7</v>
      </c>
      <c r="E1139" s="307">
        <v>10</v>
      </c>
      <c r="F1139" s="414">
        <f t="shared" si="406"/>
        <v>142.857142857143</v>
      </c>
      <c r="G1139" s="346">
        <f t="shared" si="395"/>
        <v>10</v>
      </c>
      <c r="H1139" s="414"/>
      <c r="I1139" s="420">
        <v>1.4245</v>
      </c>
      <c r="J1139" s="307">
        <f t="shared" si="402"/>
        <v>-5.5755</v>
      </c>
      <c r="K1139" s="306">
        <f t="shared" si="408"/>
        <v>-79.65</v>
      </c>
      <c r="M1139">
        <f t="shared" si="392"/>
        <v>0</v>
      </c>
      <c r="N1139" s="415"/>
      <c r="O1139" s="415"/>
    </row>
    <row r="1140" customFormat="1" ht="20" customHeight="1" spans="1:17">
      <c r="A1140" s="440">
        <v>2240103</v>
      </c>
      <c r="B1140" s="239" t="s">
        <v>733</v>
      </c>
      <c r="C1140" s="307">
        <v>0</v>
      </c>
      <c r="D1140" s="343"/>
      <c r="E1140" s="307">
        <v>0</v>
      </c>
      <c r="F1140" s="414"/>
      <c r="G1140" s="346">
        <f t="shared" si="395"/>
        <v>0</v>
      </c>
      <c r="H1140" s="414"/>
      <c r="I1140" s="343"/>
      <c r="J1140" s="307">
        <f t="shared" si="402"/>
        <v>0</v>
      </c>
      <c r="K1140" s="306"/>
      <c r="M1140">
        <f t="shared" si="392"/>
        <v>0</v>
      </c>
      <c r="N1140" s="415"/>
      <c r="O1140" s="415"/>
    </row>
    <row r="1141" customFormat="1" ht="20" customHeight="1" spans="1:17">
      <c r="A1141" s="440">
        <v>2240104</v>
      </c>
      <c r="B1141" s="239" t="s">
        <v>1034</v>
      </c>
      <c r="C1141" s="307">
        <v>0</v>
      </c>
      <c r="D1141" s="343"/>
      <c r="E1141" s="307">
        <v>0</v>
      </c>
      <c r="F1141" s="414"/>
      <c r="G1141" s="346">
        <f t="shared" si="395"/>
        <v>0</v>
      </c>
      <c r="H1141" s="414"/>
      <c r="I1141" s="343"/>
      <c r="J1141" s="307">
        <f t="shared" si="402"/>
        <v>0</v>
      </c>
      <c r="K1141" s="306"/>
      <c r="M1141">
        <f t="shared" si="392"/>
        <v>0</v>
      </c>
      <c r="N1141" s="415"/>
      <c r="O1141" s="415"/>
    </row>
    <row r="1142" customFormat="1" ht="20" customHeight="1" spans="1:17">
      <c r="A1142" s="440">
        <v>2240105</v>
      </c>
      <c r="B1142" s="239" t="s">
        <v>1035</v>
      </c>
      <c r="C1142" s="307">
        <v>0</v>
      </c>
      <c r="D1142" s="343"/>
      <c r="E1142" s="307">
        <v>0</v>
      </c>
      <c r="F1142" s="414"/>
      <c r="G1142" s="346">
        <f t="shared" si="395"/>
        <v>0</v>
      </c>
      <c r="H1142" s="414"/>
      <c r="I1142" s="343"/>
      <c r="J1142" s="307">
        <f t="shared" si="402"/>
        <v>0</v>
      </c>
      <c r="K1142" s="306"/>
      <c r="M1142">
        <f t="shared" si="392"/>
        <v>0</v>
      </c>
      <c r="N1142" s="415"/>
      <c r="O1142" s="415"/>
    </row>
    <row r="1143" customFormat="1" ht="20" customHeight="1" spans="1:17">
      <c r="A1143" s="440">
        <v>2240106</v>
      </c>
      <c r="B1143" s="239" t="s">
        <v>1036</v>
      </c>
      <c r="C1143" s="307">
        <v>1.2653</v>
      </c>
      <c r="D1143" s="343"/>
      <c r="E1143" s="307"/>
      <c r="F1143" s="414"/>
      <c r="G1143" s="346">
        <f t="shared" si="395"/>
        <v>-1.2653</v>
      </c>
      <c r="H1143" s="414">
        <f t="shared" ref="H1143:H1150" si="410">G1143/C1143*100</f>
        <v>-100</v>
      </c>
      <c r="I1143" s="343"/>
      <c r="J1143" s="307">
        <f t="shared" si="402"/>
        <v>0</v>
      </c>
      <c r="K1143" s="306"/>
      <c r="M1143">
        <f t="shared" si="392"/>
        <v>0</v>
      </c>
      <c r="N1143" s="415"/>
      <c r="O1143" s="415"/>
    </row>
    <row r="1144" customFormat="1" ht="20" customHeight="1" spans="1:17">
      <c r="A1144" s="440">
        <v>2240108</v>
      </c>
      <c r="B1144" s="239" t="s">
        <v>1037</v>
      </c>
      <c r="C1144" s="307">
        <v>116.854945</v>
      </c>
      <c r="D1144" s="343"/>
      <c r="E1144" s="307"/>
      <c r="F1144" s="414"/>
      <c r="G1144" s="346">
        <f t="shared" si="395"/>
        <v>-116.854945</v>
      </c>
      <c r="H1144" s="414">
        <f t="shared" si="410"/>
        <v>-100</v>
      </c>
      <c r="I1144" s="343"/>
      <c r="J1144" s="307">
        <f t="shared" si="402"/>
        <v>0</v>
      </c>
      <c r="K1144" s="306"/>
      <c r="M1144">
        <f t="shared" si="392"/>
        <v>0</v>
      </c>
      <c r="N1144" s="415"/>
      <c r="O1144" s="415"/>
    </row>
    <row r="1145" customFormat="1" ht="20" customHeight="1" spans="1:17">
      <c r="A1145" s="440">
        <v>2240109</v>
      </c>
      <c r="B1145" s="239" t="s">
        <v>1038</v>
      </c>
      <c r="C1145" s="307">
        <v>1</v>
      </c>
      <c r="D1145" s="343"/>
      <c r="E1145" s="307"/>
      <c r="F1145" s="414"/>
      <c r="G1145" s="346">
        <f t="shared" si="395"/>
        <v>-1</v>
      </c>
      <c r="H1145" s="414">
        <f t="shared" si="410"/>
        <v>-100</v>
      </c>
      <c r="I1145" s="343"/>
      <c r="J1145" s="307">
        <f t="shared" si="402"/>
        <v>0</v>
      </c>
      <c r="K1145" s="306"/>
      <c r="M1145">
        <f t="shared" si="392"/>
        <v>1</v>
      </c>
      <c r="N1145" s="415">
        <v>1</v>
      </c>
      <c r="O1145" s="415"/>
    </row>
    <row r="1146" customFormat="1" ht="20" customHeight="1" spans="1:17">
      <c r="A1146" s="440">
        <v>2240150</v>
      </c>
      <c r="B1146" s="239" t="s">
        <v>750</v>
      </c>
      <c r="C1146" s="307">
        <v>305.496137</v>
      </c>
      <c r="D1146" s="343"/>
      <c r="E1146" s="307"/>
      <c r="F1146" s="414"/>
      <c r="G1146" s="346">
        <f t="shared" si="395"/>
        <v>-305.496137</v>
      </c>
      <c r="H1146" s="414">
        <f t="shared" si="410"/>
        <v>-100</v>
      </c>
      <c r="I1146" s="343"/>
      <c r="J1146" s="307">
        <f t="shared" si="402"/>
        <v>0</v>
      </c>
      <c r="K1146" s="306"/>
      <c r="M1146">
        <f t="shared" si="392"/>
        <v>441</v>
      </c>
      <c r="N1146" s="415">
        <v>441</v>
      </c>
      <c r="O1146" s="415"/>
    </row>
    <row r="1147" customFormat="1" ht="20" customHeight="1" spans="1:17">
      <c r="A1147" s="440">
        <v>2240199</v>
      </c>
      <c r="B1147" s="239" t="s">
        <v>1039</v>
      </c>
      <c r="C1147" s="307">
        <v>11.4286</v>
      </c>
      <c r="D1147" s="343"/>
      <c r="E1147" s="307">
        <v>5</v>
      </c>
      <c r="F1147" s="414"/>
      <c r="G1147" s="346">
        <f t="shared" si="395"/>
        <v>-6.4286</v>
      </c>
      <c r="H1147" s="414">
        <f t="shared" si="410"/>
        <v>-56.2501093747266</v>
      </c>
      <c r="I1147" s="343"/>
      <c r="J1147" s="307">
        <f t="shared" si="402"/>
        <v>0</v>
      </c>
      <c r="K1147" s="306"/>
      <c r="M1147">
        <f t="shared" si="392"/>
        <v>0</v>
      </c>
      <c r="N1147" s="415"/>
      <c r="O1147" s="415"/>
      <c r="Q1147">
        <v>140</v>
      </c>
    </row>
    <row r="1148" customFormat="1" ht="20" customHeight="1" spans="1:17">
      <c r="A1148" s="437">
        <v>22402</v>
      </c>
      <c r="B1148" s="427" t="s">
        <v>1040</v>
      </c>
      <c r="C1148" s="343">
        <f>SUM(C1149:C1154)</f>
        <v>924.192257</v>
      </c>
      <c r="D1148" s="343">
        <f t="shared" ref="D1148:I1148" si="411">SUM(D1149:D1154)</f>
        <v>258.399338</v>
      </c>
      <c r="E1148" s="343">
        <f t="shared" si="411"/>
        <v>828</v>
      </c>
      <c r="F1148" s="414">
        <f t="shared" ref="F1148:F1152" si="412">E1148/D1148*100</f>
        <v>320.434257459282</v>
      </c>
      <c r="G1148" s="346">
        <f t="shared" si="395"/>
        <v>-96.192257</v>
      </c>
      <c r="H1148" s="414">
        <f t="shared" si="410"/>
        <v>-10.4082517756909</v>
      </c>
      <c r="I1148" s="343">
        <f t="shared" si="411"/>
        <v>574.280478</v>
      </c>
      <c r="J1148" s="307">
        <f t="shared" si="402"/>
        <v>315.88114</v>
      </c>
      <c r="K1148" s="306">
        <f t="shared" ref="K1148:K1152" si="413">J1148/D1148*100</f>
        <v>122.245336402526</v>
      </c>
      <c r="M1148">
        <f t="shared" si="392"/>
        <v>0</v>
      </c>
      <c r="N1148" s="415"/>
      <c r="O1148" s="415"/>
    </row>
    <row r="1149" customFormat="1" ht="20" customHeight="1" spans="1:17">
      <c r="A1149" s="440">
        <v>2240201</v>
      </c>
      <c r="B1149" s="239" t="s">
        <v>731</v>
      </c>
      <c r="C1149" s="307">
        <v>9.2292</v>
      </c>
      <c r="D1149" s="343"/>
      <c r="E1149" s="307"/>
      <c r="F1149" s="414"/>
      <c r="G1149" s="346">
        <f t="shared" si="395"/>
        <v>-9.2292</v>
      </c>
      <c r="H1149" s="414">
        <f t="shared" si="410"/>
        <v>-100</v>
      </c>
      <c r="I1149" s="343"/>
      <c r="J1149" s="307">
        <f t="shared" si="402"/>
        <v>0</v>
      </c>
      <c r="K1149" s="306"/>
      <c r="M1149">
        <f t="shared" ref="M1149:M1212" si="414">N1149+O1149</f>
        <v>0</v>
      </c>
      <c r="N1149" s="415"/>
      <c r="O1149" s="415"/>
    </row>
    <row r="1150" customFormat="1" ht="20" customHeight="1" spans="1:17">
      <c r="A1150" s="440">
        <v>2240202</v>
      </c>
      <c r="B1150" s="239" t="s">
        <v>732</v>
      </c>
      <c r="C1150" s="307">
        <v>201.908</v>
      </c>
      <c r="D1150" s="425">
        <v>69.337953</v>
      </c>
      <c r="E1150" s="307">
        <v>254</v>
      </c>
      <c r="F1150" s="414">
        <f t="shared" si="412"/>
        <v>366.321745898671</v>
      </c>
      <c r="G1150" s="346">
        <f t="shared" ref="G1150:G1213" si="415">E1150-C1150</f>
        <v>52.092</v>
      </c>
      <c r="H1150" s="414">
        <f t="shared" si="410"/>
        <v>25.79986924738</v>
      </c>
      <c r="I1150" s="420">
        <v>247.970478</v>
      </c>
      <c r="J1150" s="307">
        <f t="shared" si="402"/>
        <v>178.632525</v>
      </c>
      <c r="K1150" s="306">
        <f t="shared" si="413"/>
        <v>257.625899339717</v>
      </c>
      <c r="M1150">
        <f t="shared" si="414"/>
        <v>134</v>
      </c>
      <c r="N1150" s="415">
        <v>134</v>
      </c>
      <c r="O1150" s="415"/>
    </row>
    <row r="1151" customFormat="1" ht="20" customHeight="1" spans="1:17">
      <c r="A1151" s="440">
        <v>2240203</v>
      </c>
      <c r="B1151" s="239" t="s">
        <v>733</v>
      </c>
      <c r="C1151" s="307">
        <v>0</v>
      </c>
      <c r="D1151" s="343"/>
      <c r="E1151" s="307">
        <v>0</v>
      </c>
      <c r="F1151" s="414"/>
      <c r="G1151" s="346">
        <f t="shared" si="415"/>
        <v>0</v>
      </c>
      <c r="H1151" s="414"/>
      <c r="I1151" s="343"/>
      <c r="J1151" s="307">
        <f t="shared" si="402"/>
        <v>0</v>
      </c>
      <c r="K1151" s="306"/>
      <c r="M1151">
        <f t="shared" si="414"/>
        <v>0</v>
      </c>
      <c r="N1151" s="415"/>
      <c r="O1151" s="415"/>
    </row>
    <row r="1152" customFormat="1" ht="20" customHeight="1" spans="1:17">
      <c r="A1152" s="440">
        <v>2240204</v>
      </c>
      <c r="B1152" s="239" t="s">
        <v>1041</v>
      </c>
      <c r="C1152" s="307">
        <v>713.055057</v>
      </c>
      <c r="D1152" s="343">
        <v>189.061385</v>
      </c>
      <c r="E1152" s="307">
        <v>574</v>
      </c>
      <c r="F1152" s="414">
        <f t="shared" si="412"/>
        <v>303.605096302452</v>
      </c>
      <c r="G1152" s="346">
        <f t="shared" si="415"/>
        <v>-139.055057</v>
      </c>
      <c r="H1152" s="414">
        <f>G1152/C1152*100</f>
        <v>-19.50130717606</v>
      </c>
      <c r="I1152" s="343">
        <v>326.31</v>
      </c>
      <c r="J1152" s="307">
        <f t="shared" si="402"/>
        <v>137.248615</v>
      </c>
      <c r="K1152" s="306">
        <f t="shared" si="413"/>
        <v>72.5947368892913</v>
      </c>
      <c r="M1152">
        <f t="shared" si="414"/>
        <v>101</v>
      </c>
      <c r="N1152" s="415">
        <v>101</v>
      </c>
      <c r="O1152" s="415"/>
    </row>
    <row r="1153" customFormat="1" ht="20" customHeight="1" spans="1:15">
      <c r="A1153" s="440">
        <v>2240250</v>
      </c>
      <c r="B1153" s="239" t="s">
        <v>750</v>
      </c>
      <c r="C1153" s="307">
        <v>0</v>
      </c>
      <c r="D1153" s="343"/>
      <c r="E1153" s="307">
        <v>0</v>
      </c>
      <c r="F1153" s="414"/>
      <c r="G1153" s="346">
        <f t="shared" si="415"/>
        <v>0</v>
      </c>
      <c r="H1153" s="414"/>
      <c r="I1153" s="343"/>
      <c r="J1153" s="307">
        <f t="shared" si="402"/>
        <v>0</v>
      </c>
      <c r="K1153" s="306"/>
      <c r="M1153">
        <f t="shared" si="414"/>
        <v>0</v>
      </c>
      <c r="N1153" s="415"/>
      <c r="O1153" s="415"/>
    </row>
    <row r="1154" customFormat="1" ht="20" customHeight="1" spans="1:15">
      <c r="A1154" s="440">
        <v>2240299</v>
      </c>
      <c r="B1154" s="239" t="s">
        <v>1042</v>
      </c>
      <c r="C1154" s="307">
        <v>0</v>
      </c>
      <c r="D1154" s="343"/>
      <c r="E1154" s="307">
        <v>0</v>
      </c>
      <c r="F1154" s="414"/>
      <c r="G1154" s="346">
        <f t="shared" si="415"/>
        <v>0</v>
      </c>
      <c r="H1154" s="414"/>
      <c r="I1154" s="343"/>
      <c r="J1154" s="307">
        <f t="shared" si="402"/>
        <v>0</v>
      </c>
      <c r="K1154" s="306"/>
      <c r="M1154">
        <f t="shared" si="414"/>
        <v>0</v>
      </c>
      <c r="N1154" s="415"/>
      <c r="O1154" s="415"/>
    </row>
    <row r="1155" customFormat="1" ht="20" customHeight="1" spans="1:15">
      <c r="A1155" s="437">
        <v>22404</v>
      </c>
      <c r="B1155" s="427" t="s">
        <v>1043</v>
      </c>
      <c r="C1155" s="343">
        <v>0</v>
      </c>
      <c r="D1155" s="343"/>
      <c r="E1155" s="343">
        <v>0</v>
      </c>
      <c r="F1155" s="414"/>
      <c r="G1155" s="346">
        <f t="shared" si="415"/>
        <v>0</v>
      </c>
      <c r="H1155" s="414"/>
      <c r="I1155" s="343"/>
      <c r="J1155" s="307">
        <f t="shared" si="402"/>
        <v>0</v>
      </c>
      <c r="K1155" s="306"/>
      <c r="M1155">
        <f t="shared" si="414"/>
        <v>0</v>
      </c>
      <c r="N1155" s="415"/>
      <c r="O1155" s="415"/>
    </row>
    <row r="1156" customFormat="1" ht="20" customHeight="1" spans="1:15">
      <c r="A1156" s="440">
        <v>2240401</v>
      </c>
      <c r="B1156" s="239" t="s">
        <v>731</v>
      </c>
      <c r="C1156" s="307">
        <v>0</v>
      </c>
      <c r="D1156" s="343"/>
      <c r="E1156" s="307">
        <v>0</v>
      </c>
      <c r="F1156" s="414"/>
      <c r="G1156" s="346">
        <f t="shared" si="415"/>
        <v>0</v>
      </c>
      <c r="H1156" s="414"/>
      <c r="I1156" s="343"/>
      <c r="J1156" s="307">
        <f t="shared" si="402"/>
        <v>0</v>
      </c>
      <c r="K1156" s="306"/>
      <c r="M1156">
        <f t="shared" si="414"/>
        <v>0</v>
      </c>
      <c r="N1156" s="415"/>
      <c r="O1156" s="415"/>
    </row>
    <row r="1157" customFormat="1" ht="20" customHeight="1" spans="1:15">
      <c r="A1157" s="440">
        <v>2240402</v>
      </c>
      <c r="B1157" s="239" t="s">
        <v>732</v>
      </c>
      <c r="C1157" s="307">
        <v>0</v>
      </c>
      <c r="D1157" s="343"/>
      <c r="E1157" s="307">
        <v>0</v>
      </c>
      <c r="F1157" s="414"/>
      <c r="G1157" s="346">
        <f t="shared" si="415"/>
        <v>0</v>
      </c>
      <c r="H1157" s="414"/>
      <c r="I1157" s="343"/>
      <c r="J1157" s="307">
        <f t="shared" si="402"/>
        <v>0</v>
      </c>
      <c r="K1157" s="306"/>
      <c r="M1157">
        <f t="shared" si="414"/>
        <v>0</v>
      </c>
      <c r="N1157" s="415"/>
      <c r="O1157" s="415"/>
    </row>
    <row r="1158" customFormat="1" ht="20" customHeight="1" spans="1:15">
      <c r="A1158" s="440">
        <v>2240403</v>
      </c>
      <c r="B1158" s="239" t="s">
        <v>733</v>
      </c>
      <c r="C1158" s="307">
        <v>0</v>
      </c>
      <c r="D1158" s="343"/>
      <c r="E1158" s="307">
        <v>0</v>
      </c>
      <c r="F1158" s="414"/>
      <c r="G1158" s="346">
        <f t="shared" si="415"/>
        <v>0</v>
      </c>
      <c r="H1158" s="414"/>
      <c r="I1158" s="343"/>
      <c r="J1158" s="307">
        <f t="shared" ref="J1158:J1215" si="416">I1158-D1158</f>
        <v>0</v>
      </c>
      <c r="K1158" s="306"/>
      <c r="M1158">
        <f t="shared" si="414"/>
        <v>0</v>
      </c>
      <c r="N1158" s="415"/>
      <c r="O1158" s="415"/>
    </row>
    <row r="1159" customFormat="1" ht="20" customHeight="1" spans="1:15">
      <c r="A1159" s="440">
        <v>2240404</v>
      </c>
      <c r="B1159" s="239" t="s">
        <v>1044</v>
      </c>
      <c r="C1159" s="307">
        <v>0</v>
      </c>
      <c r="D1159" s="343"/>
      <c r="E1159" s="307">
        <v>0</v>
      </c>
      <c r="F1159" s="414"/>
      <c r="G1159" s="346">
        <f t="shared" si="415"/>
        <v>0</v>
      </c>
      <c r="H1159" s="414"/>
      <c r="I1159" s="343"/>
      <c r="J1159" s="307">
        <f t="shared" si="416"/>
        <v>0</v>
      </c>
      <c r="K1159" s="306"/>
      <c r="M1159">
        <f t="shared" si="414"/>
        <v>0</v>
      </c>
      <c r="N1159" s="415"/>
      <c r="O1159" s="415"/>
    </row>
    <row r="1160" customFormat="1" ht="20" customHeight="1" spans="1:15">
      <c r="A1160" s="440">
        <v>2240405</v>
      </c>
      <c r="B1160" s="239" t="s">
        <v>1045</v>
      </c>
      <c r="C1160" s="307">
        <v>0</v>
      </c>
      <c r="D1160" s="343"/>
      <c r="E1160" s="307">
        <v>0</v>
      </c>
      <c r="F1160" s="414"/>
      <c r="G1160" s="346">
        <f t="shared" si="415"/>
        <v>0</v>
      </c>
      <c r="H1160" s="414"/>
      <c r="I1160" s="343"/>
      <c r="J1160" s="307">
        <f t="shared" si="416"/>
        <v>0</v>
      </c>
      <c r="K1160" s="306"/>
      <c r="M1160">
        <f t="shared" si="414"/>
        <v>0</v>
      </c>
      <c r="N1160" s="415"/>
      <c r="O1160" s="415"/>
    </row>
    <row r="1161" customFormat="1" ht="20" customHeight="1" spans="1:15">
      <c r="A1161" s="440">
        <v>2240450</v>
      </c>
      <c r="B1161" s="239" t="s">
        <v>750</v>
      </c>
      <c r="C1161" s="307">
        <v>0</v>
      </c>
      <c r="D1161" s="343"/>
      <c r="E1161" s="307">
        <v>0</v>
      </c>
      <c r="F1161" s="414"/>
      <c r="G1161" s="346">
        <f t="shared" si="415"/>
        <v>0</v>
      </c>
      <c r="H1161" s="414"/>
      <c r="I1161" s="343"/>
      <c r="J1161" s="307">
        <f t="shared" si="416"/>
        <v>0</v>
      </c>
      <c r="K1161" s="306"/>
      <c r="M1161">
        <f t="shared" si="414"/>
        <v>0</v>
      </c>
      <c r="N1161" s="415"/>
      <c r="O1161" s="415"/>
    </row>
    <row r="1162" customFormat="1" ht="20" customHeight="1" spans="1:15">
      <c r="A1162" s="440">
        <v>2240499</v>
      </c>
      <c r="B1162" s="239" t="s">
        <v>1046</v>
      </c>
      <c r="C1162" s="307">
        <v>0</v>
      </c>
      <c r="D1162" s="343"/>
      <c r="E1162" s="307">
        <v>0</v>
      </c>
      <c r="F1162" s="414"/>
      <c r="G1162" s="346">
        <f t="shared" si="415"/>
        <v>0</v>
      </c>
      <c r="H1162" s="414"/>
      <c r="I1162" s="343"/>
      <c r="J1162" s="307">
        <f t="shared" si="416"/>
        <v>0</v>
      </c>
      <c r="K1162" s="306"/>
      <c r="M1162">
        <f t="shared" si="414"/>
        <v>0</v>
      </c>
      <c r="N1162" s="415"/>
      <c r="O1162" s="415"/>
    </row>
    <row r="1163" customFormat="1" ht="20" customHeight="1" spans="1:15">
      <c r="A1163" s="437">
        <v>22405</v>
      </c>
      <c r="B1163" s="427" t="s">
        <v>1047</v>
      </c>
      <c r="C1163" s="371">
        <f>SUM(C1164:C1175)</f>
        <v>0</v>
      </c>
      <c r="D1163" s="371">
        <f t="shared" ref="D1163:I1163" si="417">SUM(D1164:D1175)</f>
        <v>0</v>
      </c>
      <c r="E1163" s="371">
        <f t="shared" si="417"/>
        <v>0</v>
      </c>
      <c r="F1163" s="414"/>
      <c r="G1163" s="346">
        <f t="shared" si="415"/>
        <v>0</v>
      </c>
      <c r="H1163" s="414"/>
      <c r="I1163" s="371">
        <f t="shared" si="417"/>
        <v>0</v>
      </c>
      <c r="J1163" s="307">
        <f t="shared" si="416"/>
        <v>0</v>
      </c>
      <c r="K1163" s="306"/>
      <c r="M1163">
        <f t="shared" si="414"/>
        <v>0</v>
      </c>
      <c r="N1163" s="415"/>
      <c r="O1163" s="415"/>
    </row>
    <row r="1164" customFormat="1" ht="20" customHeight="1" spans="1:15">
      <c r="A1164" s="440">
        <v>2240501</v>
      </c>
      <c r="B1164" s="239" t="s">
        <v>731</v>
      </c>
      <c r="C1164" s="307">
        <v>0</v>
      </c>
      <c r="D1164" s="343"/>
      <c r="E1164" s="307">
        <v>0</v>
      </c>
      <c r="F1164" s="414"/>
      <c r="G1164" s="346">
        <f t="shared" si="415"/>
        <v>0</v>
      </c>
      <c r="H1164" s="414"/>
      <c r="I1164" s="343"/>
      <c r="J1164" s="307">
        <f t="shared" si="416"/>
        <v>0</v>
      </c>
      <c r="K1164" s="306"/>
      <c r="M1164">
        <f t="shared" si="414"/>
        <v>0</v>
      </c>
      <c r="N1164" s="415"/>
      <c r="O1164" s="415"/>
    </row>
    <row r="1165" customFormat="1" ht="20" customHeight="1" spans="1:15">
      <c r="A1165" s="440">
        <v>2240502</v>
      </c>
      <c r="B1165" s="239" t="s">
        <v>732</v>
      </c>
      <c r="C1165" s="307">
        <v>0</v>
      </c>
      <c r="D1165" s="343"/>
      <c r="E1165" s="307">
        <v>0</v>
      </c>
      <c r="F1165" s="414"/>
      <c r="G1165" s="346">
        <f t="shared" si="415"/>
        <v>0</v>
      </c>
      <c r="H1165" s="414"/>
      <c r="I1165" s="343"/>
      <c r="J1165" s="307">
        <f t="shared" si="416"/>
        <v>0</v>
      </c>
      <c r="K1165" s="306"/>
      <c r="M1165">
        <f t="shared" si="414"/>
        <v>0</v>
      </c>
      <c r="N1165" s="415"/>
      <c r="O1165" s="415"/>
    </row>
    <row r="1166" customFormat="1" ht="20" customHeight="1" spans="1:15">
      <c r="A1166" s="440">
        <v>2240503</v>
      </c>
      <c r="B1166" s="239" t="s">
        <v>733</v>
      </c>
      <c r="C1166" s="307">
        <v>0</v>
      </c>
      <c r="D1166" s="343"/>
      <c r="E1166" s="307">
        <v>0</v>
      </c>
      <c r="F1166" s="414"/>
      <c r="G1166" s="346">
        <f t="shared" si="415"/>
        <v>0</v>
      </c>
      <c r="H1166" s="414"/>
      <c r="I1166" s="343"/>
      <c r="J1166" s="307">
        <f t="shared" si="416"/>
        <v>0</v>
      </c>
      <c r="K1166" s="306"/>
      <c r="M1166">
        <f t="shared" si="414"/>
        <v>0</v>
      </c>
      <c r="N1166" s="415"/>
      <c r="O1166" s="415"/>
    </row>
    <row r="1167" customFormat="1" ht="20" customHeight="1" spans="1:15">
      <c r="A1167" s="440">
        <v>2240504</v>
      </c>
      <c r="B1167" s="239" t="s">
        <v>1048</v>
      </c>
      <c r="C1167" s="307">
        <v>0</v>
      </c>
      <c r="D1167" s="343"/>
      <c r="E1167" s="307">
        <v>0</v>
      </c>
      <c r="F1167" s="414"/>
      <c r="G1167" s="346">
        <f t="shared" si="415"/>
        <v>0</v>
      </c>
      <c r="H1167" s="414"/>
      <c r="I1167" s="343"/>
      <c r="J1167" s="307">
        <f t="shared" si="416"/>
        <v>0</v>
      </c>
      <c r="K1167" s="306"/>
      <c r="M1167">
        <f t="shared" si="414"/>
        <v>0</v>
      </c>
      <c r="N1167" s="415"/>
      <c r="O1167" s="415"/>
    </row>
    <row r="1168" customFormat="1" ht="20" customHeight="1" spans="1:15">
      <c r="A1168" s="440">
        <v>2240505</v>
      </c>
      <c r="B1168" s="239" t="s">
        <v>1049</v>
      </c>
      <c r="C1168" s="307">
        <v>0</v>
      </c>
      <c r="D1168" s="343"/>
      <c r="E1168" s="307">
        <v>0</v>
      </c>
      <c r="F1168" s="414"/>
      <c r="G1168" s="346">
        <f t="shared" si="415"/>
        <v>0</v>
      </c>
      <c r="H1168" s="414"/>
      <c r="I1168" s="343"/>
      <c r="J1168" s="307">
        <f t="shared" si="416"/>
        <v>0</v>
      </c>
      <c r="K1168" s="306"/>
      <c r="M1168">
        <f t="shared" si="414"/>
        <v>0</v>
      </c>
      <c r="N1168" s="415"/>
      <c r="O1168" s="415"/>
    </row>
    <row r="1169" customFormat="1" ht="20" customHeight="1" spans="1:17">
      <c r="A1169" s="440">
        <v>2240506</v>
      </c>
      <c r="B1169" s="239" t="s">
        <v>1050</v>
      </c>
      <c r="C1169" s="307">
        <v>0</v>
      </c>
      <c r="D1169" s="343"/>
      <c r="E1169" s="307">
        <v>0</v>
      </c>
      <c r="F1169" s="414"/>
      <c r="G1169" s="346">
        <f t="shared" si="415"/>
        <v>0</v>
      </c>
      <c r="H1169" s="414"/>
      <c r="I1169" s="343"/>
      <c r="J1169" s="307">
        <f t="shared" si="416"/>
        <v>0</v>
      </c>
      <c r="K1169" s="306"/>
      <c r="M1169">
        <f t="shared" si="414"/>
        <v>0</v>
      </c>
      <c r="N1169" s="415"/>
      <c r="O1169" s="415"/>
    </row>
    <row r="1170" customFormat="1" ht="20" customHeight="1" spans="1:17">
      <c r="A1170" s="440">
        <v>2240507</v>
      </c>
      <c r="B1170" s="239" t="s">
        <v>1051</v>
      </c>
      <c r="C1170" s="307">
        <v>0</v>
      </c>
      <c r="D1170" s="343"/>
      <c r="E1170" s="307">
        <v>0</v>
      </c>
      <c r="F1170" s="414"/>
      <c r="G1170" s="346">
        <f t="shared" si="415"/>
        <v>0</v>
      </c>
      <c r="H1170" s="414"/>
      <c r="I1170" s="343"/>
      <c r="J1170" s="307">
        <f t="shared" si="416"/>
        <v>0</v>
      </c>
      <c r="K1170" s="306"/>
      <c r="M1170">
        <f t="shared" si="414"/>
        <v>0</v>
      </c>
      <c r="N1170" s="415"/>
      <c r="O1170" s="415"/>
    </row>
    <row r="1171" customFormat="1" ht="20" customHeight="1" spans="1:17">
      <c r="A1171" s="440">
        <v>2240508</v>
      </c>
      <c r="B1171" s="239" t="s">
        <v>1052</v>
      </c>
      <c r="C1171" s="307">
        <v>0</v>
      </c>
      <c r="D1171" s="343"/>
      <c r="E1171" s="307">
        <v>0</v>
      </c>
      <c r="F1171" s="414"/>
      <c r="G1171" s="346">
        <f t="shared" si="415"/>
        <v>0</v>
      </c>
      <c r="H1171" s="414"/>
      <c r="I1171" s="343"/>
      <c r="J1171" s="307">
        <f t="shared" si="416"/>
        <v>0</v>
      </c>
      <c r="K1171" s="306"/>
      <c r="M1171">
        <f t="shared" si="414"/>
        <v>0</v>
      </c>
      <c r="N1171" s="415"/>
      <c r="O1171" s="415"/>
    </row>
    <row r="1172" customFormat="1" ht="20" customHeight="1" spans="1:17">
      <c r="A1172" s="440">
        <v>2240509</v>
      </c>
      <c r="B1172" s="239" t="s">
        <v>1053</v>
      </c>
      <c r="C1172" s="307">
        <v>0</v>
      </c>
      <c r="D1172" s="343"/>
      <c r="E1172" s="307">
        <v>0</v>
      </c>
      <c r="F1172" s="414"/>
      <c r="G1172" s="346">
        <f t="shared" si="415"/>
        <v>0</v>
      </c>
      <c r="H1172" s="414"/>
      <c r="I1172" s="343"/>
      <c r="J1172" s="307">
        <f t="shared" si="416"/>
        <v>0</v>
      </c>
      <c r="K1172" s="306"/>
      <c r="M1172">
        <f t="shared" si="414"/>
        <v>0</v>
      </c>
      <c r="N1172" s="415"/>
      <c r="O1172" s="415"/>
    </row>
    <row r="1173" customFormat="1" ht="20" customHeight="1" spans="1:17">
      <c r="A1173" s="440">
        <v>2240510</v>
      </c>
      <c r="B1173" s="239" t="s">
        <v>1054</v>
      </c>
      <c r="C1173" s="307">
        <v>0</v>
      </c>
      <c r="D1173" s="343"/>
      <c r="E1173" s="307">
        <v>0</v>
      </c>
      <c r="F1173" s="414"/>
      <c r="G1173" s="346">
        <f t="shared" si="415"/>
        <v>0</v>
      </c>
      <c r="H1173" s="414"/>
      <c r="I1173" s="343"/>
      <c r="J1173" s="307">
        <f t="shared" si="416"/>
        <v>0</v>
      </c>
      <c r="K1173" s="306"/>
      <c r="M1173">
        <f t="shared" si="414"/>
        <v>0</v>
      </c>
      <c r="N1173" s="415"/>
      <c r="O1173" s="415"/>
    </row>
    <row r="1174" customFormat="1" ht="20" customHeight="1" spans="1:17">
      <c r="A1174" s="440">
        <v>2240550</v>
      </c>
      <c r="B1174" s="239" t="s">
        <v>1055</v>
      </c>
      <c r="C1174" s="307">
        <v>0</v>
      </c>
      <c r="D1174" s="343"/>
      <c r="E1174" s="307">
        <v>0</v>
      </c>
      <c r="F1174" s="414"/>
      <c r="G1174" s="346">
        <f t="shared" si="415"/>
        <v>0</v>
      </c>
      <c r="H1174" s="414"/>
      <c r="I1174" s="343"/>
      <c r="J1174" s="307">
        <f t="shared" si="416"/>
        <v>0</v>
      </c>
      <c r="K1174" s="306"/>
      <c r="M1174">
        <f t="shared" si="414"/>
        <v>0</v>
      </c>
      <c r="N1174" s="415"/>
      <c r="O1174" s="415"/>
    </row>
    <row r="1175" customFormat="1" ht="20" customHeight="1" spans="1:17">
      <c r="A1175" s="440">
        <v>2240599</v>
      </c>
      <c r="B1175" s="239" t="s">
        <v>1056</v>
      </c>
      <c r="C1175" s="307">
        <v>0</v>
      </c>
      <c r="D1175" s="343"/>
      <c r="E1175" s="307">
        <v>0</v>
      </c>
      <c r="F1175" s="414"/>
      <c r="G1175" s="346">
        <f t="shared" si="415"/>
        <v>0</v>
      </c>
      <c r="H1175" s="414"/>
      <c r="I1175" s="343"/>
      <c r="J1175" s="307">
        <f t="shared" si="416"/>
        <v>0</v>
      </c>
      <c r="K1175" s="306"/>
      <c r="M1175">
        <f t="shared" si="414"/>
        <v>0</v>
      </c>
      <c r="N1175" s="415"/>
      <c r="O1175" s="415"/>
    </row>
    <row r="1176" customFormat="1" ht="20" customHeight="1" spans="1:17">
      <c r="A1176" s="437">
        <v>22406</v>
      </c>
      <c r="B1176" s="427" t="s">
        <v>1057</v>
      </c>
      <c r="C1176" s="371">
        <f>SUM(C1177:C1179)</f>
        <v>73.408622</v>
      </c>
      <c r="D1176" s="371">
        <f t="shared" ref="D1176:I1176" si="418">SUM(D1177:D1179)</f>
        <v>22</v>
      </c>
      <c r="E1176" s="371">
        <f t="shared" si="418"/>
        <v>86</v>
      </c>
      <c r="F1176" s="414">
        <f>E1176/D1176*100</f>
        <v>390.909090909091</v>
      </c>
      <c r="G1176" s="346">
        <f t="shared" si="415"/>
        <v>12.591378</v>
      </c>
      <c r="H1176" s="414">
        <f t="shared" ref="H1176:H1181" si="419">G1176/C1176*100</f>
        <v>17.1524511112605</v>
      </c>
      <c r="I1176" s="371">
        <f t="shared" si="418"/>
        <v>118.13</v>
      </c>
      <c r="J1176" s="307">
        <f t="shared" si="416"/>
        <v>96.13</v>
      </c>
      <c r="K1176" s="306">
        <f>J1176/D1176*100</f>
        <v>436.954545454545</v>
      </c>
      <c r="M1176">
        <f t="shared" si="414"/>
        <v>0</v>
      </c>
      <c r="N1176" s="415"/>
      <c r="O1176" s="415"/>
    </row>
    <row r="1177" customFormat="1" ht="20" customHeight="1" spans="1:17">
      <c r="A1177" s="440">
        <v>2240601</v>
      </c>
      <c r="B1177" s="239" t="s">
        <v>1058</v>
      </c>
      <c r="C1177" s="307">
        <v>73.408622</v>
      </c>
      <c r="D1177" s="343">
        <v>22</v>
      </c>
      <c r="E1177" s="307">
        <v>86</v>
      </c>
      <c r="F1177" s="414">
        <f>E1177/D1177*100</f>
        <v>390.909090909091</v>
      </c>
      <c r="G1177" s="346">
        <f t="shared" si="415"/>
        <v>12.591378</v>
      </c>
      <c r="H1177" s="414">
        <f t="shared" si="419"/>
        <v>17.1524511112605</v>
      </c>
      <c r="I1177" s="343">
        <v>118.13</v>
      </c>
      <c r="J1177" s="307">
        <f t="shared" si="416"/>
        <v>96.13</v>
      </c>
      <c r="K1177" s="306">
        <f>J1177/D1177*100</f>
        <v>436.954545454545</v>
      </c>
      <c r="M1177">
        <f t="shared" si="414"/>
        <v>0</v>
      </c>
      <c r="N1177" s="415"/>
      <c r="O1177" s="415"/>
      <c r="P1177">
        <v>54</v>
      </c>
      <c r="Q1177">
        <v>103</v>
      </c>
    </row>
    <row r="1178" customFormat="1" ht="20" customHeight="1" spans="1:17">
      <c r="A1178" s="440">
        <v>2240602</v>
      </c>
      <c r="B1178" s="239" t="s">
        <v>1059</v>
      </c>
      <c r="C1178" s="307">
        <v>0</v>
      </c>
      <c r="D1178" s="343"/>
      <c r="E1178" s="307">
        <v>0</v>
      </c>
      <c r="F1178" s="414"/>
      <c r="G1178" s="346">
        <f t="shared" si="415"/>
        <v>0</v>
      </c>
      <c r="H1178" s="414"/>
      <c r="I1178" s="343"/>
      <c r="J1178" s="307">
        <f t="shared" si="416"/>
        <v>0</v>
      </c>
      <c r="K1178" s="306"/>
      <c r="M1178">
        <f t="shared" si="414"/>
        <v>0</v>
      </c>
      <c r="N1178" s="415"/>
      <c r="O1178" s="415"/>
    </row>
    <row r="1179" customFormat="1" ht="20" customHeight="1" spans="1:17">
      <c r="A1179" s="440">
        <v>2240699</v>
      </c>
      <c r="B1179" s="239" t="s">
        <v>1060</v>
      </c>
      <c r="C1179" s="307">
        <v>0</v>
      </c>
      <c r="D1179" s="343"/>
      <c r="E1179" s="307">
        <v>0</v>
      </c>
      <c r="F1179" s="414"/>
      <c r="G1179" s="346">
        <f t="shared" si="415"/>
        <v>0</v>
      </c>
      <c r="H1179" s="414"/>
      <c r="I1179" s="343"/>
      <c r="J1179" s="307">
        <f t="shared" si="416"/>
        <v>0</v>
      </c>
      <c r="K1179" s="306"/>
      <c r="M1179">
        <f t="shared" si="414"/>
        <v>0</v>
      </c>
      <c r="N1179" s="415"/>
      <c r="O1179" s="415"/>
    </row>
    <row r="1180" customFormat="1" ht="20" customHeight="1" spans="1:17">
      <c r="A1180" s="437">
        <v>22407</v>
      </c>
      <c r="B1180" s="427" t="s">
        <v>1061</v>
      </c>
      <c r="C1180" s="343">
        <f>SUM(C1181:C1183)</f>
        <v>277.4879</v>
      </c>
      <c r="D1180" s="343">
        <f t="shared" ref="D1180:I1180" si="420">SUM(D1181:D1183)</f>
        <v>0</v>
      </c>
      <c r="E1180" s="343">
        <f t="shared" si="420"/>
        <v>55</v>
      </c>
      <c r="F1180" s="414"/>
      <c r="G1180" s="346">
        <f t="shared" si="415"/>
        <v>-222.4879</v>
      </c>
      <c r="H1180" s="414">
        <f t="shared" si="419"/>
        <v>-80.1793159269287</v>
      </c>
      <c r="I1180" s="343">
        <f t="shared" si="420"/>
        <v>9.21</v>
      </c>
      <c r="J1180" s="307">
        <f t="shared" si="416"/>
        <v>9.21</v>
      </c>
      <c r="K1180" s="306"/>
      <c r="M1180">
        <f t="shared" si="414"/>
        <v>0</v>
      </c>
      <c r="N1180" s="415"/>
      <c r="O1180" s="415"/>
    </row>
    <row r="1181" customFormat="1" ht="20" customHeight="1" spans="1:17">
      <c r="A1181" s="440">
        <v>2240703</v>
      </c>
      <c r="B1181" s="239" t="s">
        <v>1062</v>
      </c>
      <c r="C1181" s="307">
        <v>11.73</v>
      </c>
      <c r="D1181" s="343"/>
      <c r="E1181" s="307">
        <v>55</v>
      </c>
      <c r="F1181" s="414"/>
      <c r="G1181" s="346">
        <f t="shared" si="415"/>
        <v>43.27</v>
      </c>
      <c r="H1181" s="414">
        <f t="shared" si="419"/>
        <v>368.883205456095</v>
      </c>
      <c r="I1181" s="343">
        <v>9.21</v>
      </c>
      <c r="J1181" s="307">
        <f t="shared" si="416"/>
        <v>9.21</v>
      </c>
      <c r="K1181" s="306"/>
      <c r="M1181">
        <f t="shared" si="414"/>
        <v>0</v>
      </c>
      <c r="N1181" s="415"/>
      <c r="O1181" s="415"/>
      <c r="Q1181">
        <v>14</v>
      </c>
    </row>
    <row r="1182" customFormat="1" ht="20" customHeight="1" spans="1:17">
      <c r="A1182" s="440">
        <v>2240704</v>
      </c>
      <c r="B1182" s="239" t="s">
        <v>1063</v>
      </c>
      <c r="C1182" s="307">
        <v>0</v>
      </c>
      <c r="D1182" s="343"/>
      <c r="E1182" s="307">
        <v>0</v>
      </c>
      <c r="F1182" s="414"/>
      <c r="G1182" s="346">
        <f t="shared" si="415"/>
        <v>0</v>
      </c>
      <c r="H1182" s="414"/>
      <c r="I1182" s="343"/>
      <c r="J1182" s="307">
        <f t="shared" si="416"/>
        <v>0</v>
      </c>
      <c r="K1182" s="306"/>
      <c r="M1182">
        <f t="shared" si="414"/>
        <v>0</v>
      </c>
      <c r="N1182" s="415"/>
      <c r="O1182" s="415"/>
    </row>
    <row r="1183" customFormat="1" ht="20" customHeight="1" spans="1:17">
      <c r="A1183" s="440">
        <v>2240799</v>
      </c>
      <c r="B1183" s="239" t="s">
        <v>1064</v>
      </c>
      <c r="C1183" s="307">
        <v>265.7579</v>
      </c>
      <c r="D1183" s="343"/>
      <c r="E1183" s="307"/>
      <c r="F1183" s="414"/>
      <c r="G1183" s="346">
        <f t="shared" si="415"/>
        <v>-265.7579</v>
      </c>
      <c r="H1183" s="414">
        <f t="shared" ref="H1183:H1186" si="421">G1183/C1183*100</f>
        <v>-100</v>
      </c>
      <c r="I1183" s="343"/>
      <c r="J1183" s="307">
        <f t="shared" si="416"/>
        <v>0</v>
      </c>
      <c r="K1183" s="306"/>
      <c r="M1183">
        <f t="shared" si="414"/>
        <v>0</v>
      </c>
      <c r="N1183" s="415"/>
      <c r="O1183" s="415"/>
    </row>
    <row r="1184" customFormat="1" ht="20" customHeight="1" spans="1:17">
      <c r="A1184" s="437">
        <v>22499</v>
      </c>
      <c r="B1184" s="427" t="s">
        <v>1065</v>
      </c>
      <c r="C1184" s="343">
        <v>1907</v>
      </c>
      <c r="D1184" s="343">
        <v>340.52</v>
      </c>
      <c r="E1184" s="343">
        <v>185</v>
      </c>
      <c r="F1184" s="414">
        <f t="shared" ref="F1184:F1186" si="422">E1184/D1184*100</f>
        <v>54.3286737930224</v>
      </c>
      <c r="G1184" s="346">
        <f t="shared" si="415"/>
        <v>-1722</v>
      </c>
      <c r="H1184" s="414">
        <f t="shared" si="421"/>
        <v>-90.2988987939171</v>
      </c>
      <c r="I1184" s="343">
        <v>7</v>
      </c>
      <c r="J1184" s="307">
        <f t="shared" si="416"/>
        <v>-333.52</v>
      </c>
      <c r="K1184" s="306">
        <f t="shared" ref="K1184:K1186" si="423">J1184/D1184*100</f>
        <v>-97.9443204510748</v>
      </c>
      <c r="M1184">
        <f t="shared" si="414"/>
        <v>0</v>
      </c>
      <c r="N1184" s="415"/>
      <c r="O1184" s="415"/>
      <c r="Q1184">
        <v>2162</v>
      </c>
    </row>
    <row r="1185" s="278" customFormat="1" ht="20" customHeight="1" spans="1:17">
      <c r="A1185" s="412">
        <v>227</v>
      </c>
      <c r="B1185" s="413" t="s">
        <v>1066</v>
      </c>
      <c r="C1185" s="307">
        <v>0</v>
      </c>
      <c r="D1185" s="307">
        <v>1690</v>
      </c>
      <c r="E1185" s="307">
        <v>0</v>
      </c>
      <c r="F1185" s="414">
        <f t="shared" si="422"/>
        <v>0</v>
      </c>
      <c r="G1185" s="346">
        <f t="shared" si="415"/>
        <v>0</v>
      </c>
      <c r="H1185" s="414"/>
      <c r="I1185" s="307">
        <v>1850</v>
      </c>
      <c r="J1185" s="307">
        <f t="shared" si="416"/>
        <v>160</v>
      </c>
      <c r="K1185" s="306">
        <f t="shared" si="423"/>
        <v>9.46745562130178</v>
      </c>
      <c r="M1185" s="278">
        <f t="shared" si="414"/>
        <v>1471</v>
      </c>
      <c r="N1185" s="415"/>
      <c r="O1185" s="415">
        <v>1471</v>
      </c>
    </row>
    <row r="1186" s="278" customFormat="1" ht="20" customHeight="1" spans="1:17">
      <c r="A1186" s="412">
        <v>229</v>
      </c>
      <c r="B1186" s="413" t="s">
        <v>1067</v>
      </c>
      <c r="C1186" s="371">
        <f>SUM(C1187:C1188)</f>
        <v>1759.8625</v>
      </c>
      <c r="D1186" s="371">
        <f t="shared" ref="D1186:I1186" si="424">SUM(D1187:D1188)</f>
        <v>3600</v>
      </c>
      <c r="E1186" s="371">
        <f t="shared" si="424"/>
        <v>18664</v>
      </c>
      <c r="F1186" s="414">
        <f t="shared" si="422"/>
        <v>518.444444444444</v>
      </c>
      <c r="G1186" s="346">
        <f t="shared" si="415"/>
        <v>16904.1375</v>
      </c>
      <c r="H1186" s="414">
        <f t="shared" si="421"/>
        <v>960.537399938916</v>
      </c>
      <c r="I1186" s="371">
        <f t="shared" si="424"/>
        <v>9520</v>
      </c>
      <c r="J1186" s="307">
        <f t="shared" si="416"/>
        <v>5920</v>
      </c>
      <c r="K1186" s="306">
        <f t="shared" si="423"/>
        <v>164.444444444444</v>
      </c>
      <c r="M1186" s="278">
        <f t="shared" si="414"/>
        <v>0</v>
      </c>
      <c r="N1186" s="415"/>
      <c r="O1186" s="415"/>
    </row>
    <row r="1187" customFormat="1" ht="20" customHeight="1" spans="1:17">
      <c r="A1187" s="440">
        <v>22902</v>
      </c>
      <c r="B1187" s="239" t="s">
        <v>1068</v>
      </c>
      <c r="C1187" s="343">
        <v>0</v>
      </c>
      <c r="D1187" s="343"/>
      <c r="E1187" s="343">
        <v>0</v>
      </c>
      <c r="F1187" s="414"/>
      <c r="G1187" s="346">
        <f t="shared" si="415"/>
        <v>0</v>
      </c>
      <c r="H1187" s="414"/>
      <c r="I1187" s="343"/>
      <c r="J1187" s="307">
        <f t="shared" si="416"/>
        <v>0</v>
      </c>
      <c r="K1187" s="306"/>
      <c r="M1187">
        <f t="shared" si="414"/>
        <v>0</v>
      </c>
      <c r="N1187" s="415"/>
      <c r="O1187" s="415"/>
    </row>
    <row r="1188" s="278" customFormat="1" ht="20" customHeight="1" spans="1:17">
      <c r="A1188" s="438">
        <v>22999</v>
      </c>
      <c r="B1188" s="422" t="s">
        <v>1069</v>
      </c>
      <c r="C1188" s="343">
        <v>1759.8625</v>
      </c>
      <c r="D1188" s="343">
        <f>100+200+3300</f>
        <v>3600</v>
      </c>
      <c r="E1188" s="343">
        <v>18664</v>
      </c>
      <c r="F1188" s="414">
        <f t="shared" ref="F1188:F1190" si="425">E1188/D1188*100</f>
        <v>518.444444444444</v>
      </c>
      <c r="G1188" s="346">
        <f t="shared" si="415"/>
        <v>16904.1375</v>
      </c>
      <c r="H1188" s="414">
        <f>G1188/C1188*100</f>
        <v>960.537399938916</v>
      </c>
      <c r="I1188" s="343">
        <f>30+449+9041</f>
        <v>9520</v>
      </c>
      <c r="J1188" s="307">
        <f t="shared" si="416"/>
        <v>5920</v>
      </c>
      <c r="K1188" s="306">
        <f t="shared" ref="K1188:K1190" si="426">J1188/D1188*100</f>
        <v>164.444444444444</v>
      </c>
      <c r="M1188">
        <f t="shared" si="414"/>
        <v>592</v>
      </c>
      <c r="N1188" s="415"/>
      <c r="O1188" s="415">
        <v>592</v>
      </c>
      <c r="P1188"/>
      <c r="Q1188"/>
    </row>
    <row r="1189" s="278" customFormat="1" ht="20" customHeight="1" spans="1:17">
      <c r="A1189" s="412">
        <v>231</v>
      </c>
      <c r="B1189" s="413" t="s">
        <v>1070</v>
      </c>
      <c r="C1189" s="343">
        <f>SUM(C1190:C1193)</f>
        <v>0</v>
      </c>
      <c r="D1189" s="343">
        <f t="shared" ref="D1189:I1189" si="427">SUM(D1190:D1193)</f>
        <v>1150</v>
      </c>
      <c r="E1189" s="343">
        <f t="shared" si="427"/>
        <v>0</v>
      </c>
      <c r="F1189" s="414">
        <f t="shared" si="425"/>
        <v>0</v>
      </c>
      <c r="G1189" s="346">
        <f t="shared" si="415"/>
        <v>0</v>
      </c>
      <c r="H1189" s="414"/>
      <c r="I1189" s="343">
        <f t="shared" si="427"/>
        <v>677.97</v>
      </c>
      <c r="J1189" s="307">
        <f t="shared" si="416"/>
        <v>-472.03</v>
      </c>
      <c r="K1189" s="306">
        <f t="shared" si="426"/>
        <v>-41.0460869565217</v>
      </c>
      <c r="M1189" s="278">
        <f t="shared" si="414"/>
        <v>0</v>
      </c>
      <c r="N1189" s="415"/>
      <c r="O1189" s="415"/>
    </row>
    <row r="1190" customFormat="1" ht="20" customHeight="1" spans="1:17">
      <c r="A1190" s="438"/>
      <c r="B1190" s="422" t="s">
        <v>1071</v>
      </c>
      <c r="C1190" s="343">
        <v>0</v>
      </c>
      <c r="D1190" s="343">
        <v>1150</v>
      </c>
      <c r="E1190" s="343">
        <v>0</v>
      </c>
      <c r="F1190" s="414">
        <f t="shared" si="425"/>
        <v>0</v>
      </c>
      <c r="G1190" s="346">
        <f t="shared" si="415"/>
        <v>0</v>
      </c>
      <c r="H1190" s="414"/>
      <c r="I1190" s="343">
        <v>677.97</v>
      </c>
      <c r="J1190" s="307">
        <f t="shared" si="416"/>
        <v>-472.03</v>
      </c>
      <c r="K1190" s="306">
        <f t="shared" si="426"/>
        <v>-41.0460869565217</v>
      </c>
      <c r="M1190">
        <f t="shared" si="414"/>
        <v>1000</v>
      </c>
      <c r="N1190" s="415"/>
      <c r="O1190" s="415">
        <v>1000</v>
      </c>
    </row>
    <row r="1191" customFormat="1" ht="20" customHeight="1" spans="1:17">
      <c r="A1191" s="438"/>
      <c r="B1191" s="422" t="s">
        <v>1072</v>
      </c>
      <c r="C1191" s="343">
        <v>0</v>
      </c>
      <c r="D1191" s="343"/>
      <c r="E1191" s="343">
        <v>0</v>
      </c>
      <c r="F1191" s="414"/>
      <c r="G1191" s="346">
        <f t="shared" si="415"/>
        <v>0</v>
      </c>
      <c r="H1191" s="414"/>
      <c r="I1191" s="343"/>
      <c r="J1191" s="307">
        <f t="shared" si="416"/>
        <v>0</v>
      </c>
      <c r="K1191" s="306"/>
      <c r="M1191">
        <f t="shared" si="414"/>
        <v>0</v>
      </c>
      <c r="N1191" s="415"/>
      <c r="O1191" s="415"/>
    </row>
    <row r="1192" customFormat="1" ht="20" customHeight="1" spans="1:17">
      <c r="A1192" s="438"/>
      <c r="B1192" s="422" t="s">
        <v>1073</v>
      </c>
      <c r="C1192" s="343">
        <v>0</v>
      </c>
      <c r="D1192" s="343"/>
      <c r="E1192" s="343">
        <v>0</v>
      </c>
      <c r="F1192" s="414"/>
      <c r="G1192" s="346">
        <f t="shared" si="415"/>
        <v>0</v>
      </c>
      <c r="H1192" s="414"/>
      <c r="I1192" s="343"/>
      <c r="J1192" s="307">
        <f t="shared" si="416"/>
        <v>0</v>
      </c>
      <c r="K1192" s="306"/>
      <c r="M1192">
        <f t="shared" si="414"/>
        <v>0</v>
      </c>
      <c r="N1192" s="415"/>
      <c r="O1192" s="415"/>
    </row>
    <row r="1193" customFormat="1" ht="20" customHeight="1" spans="1:17">
      <c r="A1193" s="438"/>
      <c r="B1193" s="422" t="s">
        <v>1074</v>
      </c>
      <c r="C1193" s="343">
        <v>0</v>
      </c>
      <c r="D1193" s="343"/>
      <c r="E1193" s="343">
        <v>0</v>
      </c>
      <c r="F1193" s="414"/>
      <c r="G1193" s="346">
        <f t="shared" si="415"/>
        <v>0</v>
      </c>
      <c r="H1193" s="414"/>
      <c r="I1193" s="343"/>
      <c r="J1193" s="307">
        <f t="shared" si="416"/>
        <v>0</v>
      </c>
      <c r="K1193" s="306"/>
      <c r="M1193">
        <f t="shared" si="414"/>
        <v>0</v>
      </c>
      <c r="N1193" s="415"/>
      <c r="O1193" s="415"/>
    </row>
    <row r="1194" s="278" customFormat="1" ht="20" customHeight="1" spans="1:17">
      <c r="A1194" s="412">
        <v>232</v>
      </c>
      <c r="B1194" s="413" t="s">
        <v>1075</v>
      </c>
      <c r="C1194" s="343">
        <f>SUM(C1195:C1197)</f>
        <v>2944.677833</v>
      </c>
      <c r="D1194" s="343">
        <f t="shared" ref="D1194:I1194" si="428">SUM(D1195:D1197)</f>
        <v>2532</v>
      </c>
      <c r="E1194" s="343">
        <f t="shared" si="428"/>
        <v>3052</v>
      </c>
      <c r="F1194" s="414">
        <f>E1194/D1194*100</f>
        <v>120.537124802528</v>
      </c>
      <c r="G1194" s="346">
        <f t="shared" si="415"/>
        <v>107.322167</v>
      </c>
      <c r="H1194" s="414">
        <f t="shared" ref="H1194:H1204" si="429">G1194/C1194*100</f>
        <v>3.64461489801284</v>
      </c>
      <c r="I1194" s="343">
        <f t="shared" si="428"/>
        <v>2863</v>
      </c>
      <c r="J1194" s="307">
        <f t="shared" si="416"/>
        <v>331</v>
      </c>
      <c r="K1194" s="306">
        <f>J1194/D1194*100</f>
        <v>13.0726698262243</v>
      </c>
      <c r="M1194" s="278">
        <f t="shared" si="414"/>
        <v>0</v>
      </c>
      <c r="N1194" s="415"/>
      <c r="O1194" s="415"/>
    </row>
    <row r="1195" customFormat="1" ht="20" customHeight="1" spans="1:17">
      <c r="A1195" s="438"/>
      <c r="B1195" s="422" t="s">
        <v>1076</v>
      </c>
      <c r="C1195" s="343">
        <v>2944.677833</v>
      </c>
      <c r="D1195" s="343">
        <v>2532</v>
      </c>
      <c r="E1195" s="343">
        <v>3052</v>
      </c>
      <c r="F1195" s="414">
        <f>E1195/D1195*100</f>
        <v>120.537124802528</v>
      </c>
      <c r="G1195" s="346">
        <f t="shared" si="415"/>
        <v>107.322167</v>
      </c>
      <c r="H1195" s="414">
        <f t="shared" si="429"/>
        <v>3.64461489801284</v>
      </c>
      <c r="I1195" s="343">
        <f>2863</f>
        <v>2863</v>
      </c>
      <c r="J1195" s="307">
        <f t="shared" si="416"/>
        <v>331</v>
      </c>
      <c r="K1195" s="306">
        <f>J1195/D1195*100</f>
        <v>13.0726698262243</v>
      </c>
      <c r="M1195">
        <f t="shared" si="414"/>
        <v>2847</v>
      </c>
      <c r="N1195" s="415"/>
      <c r="O1195" s="415">
        <v>2847</v>
      </c>
    </row>
    <row r="1196" customFormat="1" ht="20" customHeight="1" spans="1:17">
      <c r="A1196" s="438"/>
      <c r="B1196" s="422" t="s">
        <v>1077</v>
      </c>
      <c r="C1196" s="343">
        <v>0</v>
      </c>
      <c r="D1196" s="343"/>
      <c r="E1196" s="343">
        <v>0</v>
      </c>
      <c r="F1196" s="414"/>
      <c r="G1196" s="346">
        <f t="shared" si="415"/>
        <v>0</v>
      </c>
      <c r="H1196" s="414"/>
      <c r="I1196" s="343"/>
      <c r="J1196" s="307">
        <f t="shared" si="416"/>
        <v>0</v>
      </c>
      <c r="K1196" s="306"/>
      <c r="M1196">
        <f t="shared" si="414"/>
        <v>0</v>
      </c>
      <c r="N1196" s="415"/>
      <c r="O1196" s="415"/>
    </row>
    <row r="1197" customFormat="1" ht="20" customHeight="1" spans="1:17">
      <c r="A1197" s="438"/>
      <c r="B1197" s="422" t="s">
        <v>1078</v>
      </c>
      <c r="C1197" s="343">
        <v>0</v>
      </c>
      <c r="D1197" s="343"/>
      <c r="E1197" s="343">
        <v>0</v>
      </c>
      <c r="F1197" s="414"/>
      <c r="G1197" s="346">
        <f t="shared" si="415"/>
        <v>0</v>
      </c>
      <c r="H1197" s="414"/>
      <c r="I1197" s="343"/>
      <c r="J1197" s="307">
        <f t="shared" si="416"/>
        <v>0</v>
      </c>
      <c r="K1197" s="306"/>
      <c r="M1197">
        <f t="shared" si="414"/>
        <v>0</v>
      </c>
      <c r="N1197" s="415"/>
      <c r="O1197" s="415"/>
    </row>
    <row r="1198" s="278" customFormat="1" ht="20" customHeight="1" spans="1:17">
      <c r="A1198" s="412">
        <v>233</v>
      </c>
      <c r="B1198" s="413" t="s">
        <v>1079</v>
      </c>
      <c r="C1198" s="346">
        <v>14.347295</v>
      </c>
      <c r="D1198" s="346">
        <v>0</v>
      </c>
      <c r="E1198" s="346">
        <v>9</v>
      </c>
      <c r="F1198" s="414"/>
      <c r="G1198" s="346">
        <f t="shared" si="415"/>
        <v>-5.347295</v>
      </c>
      <c r="H1198" s="414">
        <f t="shared" si="429"/>
        <v>-37.270405327276</v>
      </c>
      <c r="I1198" s="346">
        <v>0</v>
      </c>
      <c r="J1198" s="307">
        <f t="shared" si="416"/>
        <v>0</v>
      </c>
      <c r="K1198" s="306"/>
      <c r="M1198" s="278">
        <f t="shared" si="414"/>
        <v>0</v>
      </c>
      <c r="N1198" s="415"/>
      <c r="O1198" s="415"/>
    </row>
    <row r="1199" customFormat="1" ht="20" customHeight="1" spans="1:17">
      <c r="A1199" s="443"/>
      <c r="B1199" s="422" t="s">
        <v>1080</v>
      </c>
      <c r="C1199" s="343">
        <v>14.347295</v>
      </c>
      <c r="D1199" s="343">
        <v>0</v>
      </c>
      <c r="E1199" s="343">
        <v>9</v>
      </c>
      <c r="F1199" s="414"/>
      <c r="G1199" s="346">
        <f t="shared" si="415"/>
        <v>-5.347295</v>
      </c>
      <c r="H1199" s="414">
        <f t="shared" si="429"/>
        <v>-37.270405327276</v>
      </c>
      <c r="I1199" s="343">
        <v>0</v>
      </c>
      <c r="J1199" s="307">
        <f t="shared" si="416"/>
        <v>0</v>
      </c>
      <c r="K1199" s="306"/>
      <c r="M1199">
        <f t="shared" si="414"/>
        <v>1</v>
      </c>
      <c r="N1199" s="415"/>
      <c r="O1199" s="415">
        <v>1</v>
      </c>
    </row>
    <row r="1200" s="277" customFormat="1" ht="20" customHeight="1" spans="1:17">
      <c r="A1200" s="444"/>
      <c r="B1200" s="445" t="s">
        <v>1081</v>
      </c>
      <c r="C1200" s="446">
        <f>C6+C248+C257+C344+C395+C447+C504+C628+C705+C769+C788+C895+C952+C1014+C1034+C1038+C1072+C1094+C1136+C1185+C1186+C1189+C1194+C1198</f>
        <v>277389.558944</v>
      </c>
      <c r="D1200" s="446">
        <f t="shared" ref="D1200:I1200" si="430">D6+D248+D257+D344+D395+D447+D504+D628+D705+D769+D788+D895+D952+D1014+D1034+D1038+D1072+D1094+D1136+D1185+D1186+D1189+D1194+D1198</f>
        <v>235486.63636</v>
      </c>
      <c r="E1200" s="446">
        <f t="shared" si="430"/>
        <v>291525.132668</v>
      </c>
      <c r="F1200" s="447">
        <f t="shared" ref="F1200:F1204" si="431">E1200/D1200*100</f>
        <v>123.796890207532</v>
      </c>
      <c r="G1200" s="448">
        <f t="shared" si="415"/>
        <v>14135.573724</v>
      </c>
      <c r="H1200" s="447">
        <f t="shared" si="429"/>
        <v>5.09592854821682</v>
      </c>
      <c r="I1200" s="446">
        <f t="shared" si="430"/>
        <v>267653.114328</v>
      </c>
      <c r="J1200" s="302">
        <f t="shared" si="416"/>
        <v>32166.4779679999</v>
      </c>
      <c r="K1200" s="301">
        <f t="shared" ref="K1200:K1204" si="432">J1200/D1200*100</f>
        <v>13.6595768087771</v>
      </c>
      <c r="M1200" s="277">
        <f t="shared" si="414"/>
        <v>0</v>
      </c>
      <c r="N1200" s="449"/>
      <c r="O1200" s="449"/>
    </row>
    <row r="1201" s="277" customFormat="1" ht="20" customHeight="1" spans="1:15">
      <c r="A1201" s="450"/>
      <c r="B1201" s="451" t="s">
        <v>1082</v>
      </c>
      <c r="C1201" s="311">
        <f>C1202+C1209+C1212</f>
        <v>30676</v>
      </c>
      <c r="D1201" s="311">
        <f>D1202+D1205+D1208+D1209+D1210+D1211+D1212</f>
        <v>4263</v>
      </c>
      <c r="E1201" s="311">
        <f>E1202+E1209+E1212</f>
        <v>33450</v>
      </c>
      <c r="F1201" s="447">
        <f t="shared" si="431"/>
        <v>784.658691062632</v>
      </c>
      <c r="G1201" s="448">
        <f t="shared" si="415"/>
        <v>2774</v>
      </c>
      <c r="H1201" s="447">
        <f t="shared" si="429"/>
        <v>9.04289998696049</v>
      </c>
      <c r="I1201" s="311">
        <f>I1202+I1205+I1208+I1209+I1210+I1211+I1212</f>
        <v>5475</v>
      </c>
      <c r="J1201" s="302">
        <f t="shared" si="416"/>
        <v>1212</v>
      </c>
      <c r="K1201" s="301">
        <f t="shared" si="432"/>
        <v>28.4306826178747</v>
      </c>
      <c r="M1201" s="277">
        <f t="shared" si="414"/>
        <v>0</v>
      </c>
      <c r="N1201" s="449"/>
      <c r="O1201" s="449"/>
    </row>
    <row r="1202" customFormat="1" ht="20" customHeight="1" spans="1:15">
      <c r="A1202" s="452"/>
      <c r="B1202" s="324" t="s">
        <v>1083</v>
      </c>
      <c r="C1202" s="339">
        <v>5538</v>
      </c>
      <c r="D1202" s="339">
        <v>4263</v>
      </c>
      <c r="E1202" s="339">
        <f>E1203+E1204</f>
        <v>5475</v>
      </c>
      <c r="F1202" s="414">
        <f t="shared" si="431"/>
        <v>128.430682617875</v>
      </c>
      <c r="G1202" s="346">
        <f t="shared" si="415"/>
        <v>-63</v>
      </c>
      <c r="H1202" s="414">
        <f t="shared" si="429"/>
        <v>-1.13759479956663</v>
      </c>
      <c r="I1202" s="339">
        <f>I1203+I1204</f>
        <v>5475</v>
      </c>
      <c r="J1202" s="307">
        <f t="shared" si="416"/>
        <v>1212</v>
      </c>
      <c r="K1202" s="306">
        <f t="shared" si="432"/>
        <v>28.4306826178747</v>
      </c>
      <c r="M1202">
        <f t="shared" si="414"/>
        <v>0</v>
      </c>
      <c r="N1202" s="415"/>
      <c r="O1202" s="415"/>
    </row>
    <row r="1203" customFormat="1" ht="20" customHeight="1" spans="1:15">
      <c r="A1203" s="452"/>
      <c r="B1203" s="324" t="s">
        <v>1084</v>
      </c>
      <c r="C1203" s="343">
        <v>250</v>
      </c>
      <c r="D1203" s="343">
        <v>2639</v>
      </c>
      <c r="E1203" s="343">
        <v>280</v>
      </c>
      <c r="F1203" s="414">
        <f t="shared" si="431"/>
        <v>10.6100795755968</v>
      </c>
      <c r="G1203" s="346">
        <f t="shared" si="415"/>
        <v>30</v>
      </c>
      <c r="H1203" s="414">
        <f t="shared" si="429"/>
        <v>12</v>
      </c>
      <c r="I1203" s="343">
        <v>245</v>
      </c>
      <c r="J1203" s="307">
        <f t="shared" si="416"/>
        <v>-2394</v>
      </c>
      <c r="K1203" s="306">
        <f t="shared" si="432"/>
        <v>-90.7161803713528</v>
      </c>
      <c r="M1203">
        <f t="shared" si="414"/>
        <v>0</v>
      </c>
      <c r="N1203" s="415"/>
      <c r="O1203" s="415"/>
    </row>
    <row r="1204" customFormat="1" ht="20" customHeight="1" spans="1:15">
      <c r="A1204" s="453"/>
      <c r="B1204" s="344" t="s">
        <v>1085</v>
      </c>
      <c r="C1204" s="345">
        <v>5288</v>
      </c>
      <c r="D1204" s="345">
        <v>1624</v>
      </c>
      <c r="E1204" s="345">
        <v>5195</v>
      </c>
      <c r="F1204" s="414">
        <f t="shared" si="431"/>
        <v>319.889162561576</v>
      </c>
      <c r="G1204" s="346">
        <f t="shared" si="415"/>
        <v>-93</v>
      </c>
      <c r="H1204" s="414">
        <f t="shared" si="429"/>
        <v>-1.75869894099849</v>
      </c>
      <c r="I1204" s="345">
        <v>5230</v>
      </c>
      <c r="J1204" s="307">
        <f t="shared" si="416"/>
        <v>3606</v>
      </c>
      <c r="K1204" s="306">
        <f t="shared" si="432"/>
        <v>222.044334975369</v>
      </c>
      <c r="M1204">
        <f t="shared" si="414"/>
        <v>0</v>
      </c>
      <c r="N1204" s="415"/>
      <c r="O1204" s="415"/>
    </row>
    <row r="1205" customFormat="1" ht="20" customHeight="1" spans="1:15">
      <c r="A1205" s="452"/>
      <c r="B1205" s="324" t="s">
        <v>1086</v>
      </c>
      <c r="C1205" s="339"/>
      <c r="D1205" s="339"/>
      <c r="E1205" s="339"/>
      <c r="F1205" s="414"/>
      <c r="G1205" s="346">
        <f t="shared" si="415"/>
        <v>0</v>
      </c>
      <c r="H1205" s="414"/>
      <c r="I1205" s="339"/>
      <c r="J1205" s="307">
        <f t="shared" si="416"/>
        <v>0</v>
      </c>
      <c r="K1205" s="306"/>
      <c r="M1205">
        <f t="shared" si="414"/>
        <v>0</v>
      </c>
      <c r="N1205" s="415"/>
      <c r="O1205" s="415"/>
    </row>
    <row r="1206" customFormat="1" ht="20" customHeight="1" spans="1:15">
      <c r="A1206" s="452"/>
      <c r="B1206" s="324" t="s">
        <v>1087</v>
      </c>
      <c r="C1206" s="346"/>
      <c r="D1206" s="346"/>
      <c r="E1206" s="346"/>
      <c r="F1206" s="414"/>
      <c r="G1206" s="346">
        <f t="shared" si="415"/>
        <v>0</v>
      </c>
      <c r="H1206" s="414"/>
      <c r="I1206" s="346"/>
      <c r="J1206" s="307">
        <f t="shared" si="416"/>
        <v>0</v>
      </c>
      <c r="K1206" s="306"/>
      <c r="M1206">
        <f t="shared" si="414"/>
        <v>0</v>
      </c>
      <c r="N1206" s="415"/>
      <c r="O1206" s="415"/>
    </row>
    <row r="1207" customFormat="1" ht="20" customHeight="1" spans="1:15">
      <c r="A1207" s="452"/>
      <c r="B1207" s="324" t="s">
        <v>1088</v>
      </c>
      <c r="C1207" s="346">
        <v>0</v>
      </c>
      <c r="D1207" s="346"/>
      <c r="E1207" s="346"/>
      <c r="F1207" s="414"/>
      <c r="G1207" s="346">
        <f t="shared" si="415"/>
        <v>0</v>
      </c>
      <c r="H1207" s="414"/>
      <c r="I1207" s="346"/>
      <c r="J1207" s="307">
        <f t="shared" si="416"/>
        <v>0</v>
      </c>
      <c r="K1207" s="306"/>
      <c r="M1207">
        <f t="shared" si="414"/>
        <v>0</v>
      </c>
      <c r="N1207" s="415"/>
      <c r="O1207" s="415"/>
    </row>
    <row r="1208" customFormat="1" ht="20" customHeight="1" spans="1:15">
      <c r="A1208" s="453"/>
      <c r="B1208" s="329" t="s">
        <v>1089</v>
      </c>
      <c r="C1208" s="343">
        <v>0</v>
      </c>
      <c r="D1208" s="343"/>
      <c r="E1208" s="346"/>
      <c r="F1208" s="414"/>
      <c r="G1208" s="346">
        <f t="shared" si="415"/>
        <v>0</v>
      </c>
      <c r="H1208" s="414"/>
      <c r="I1208" s="343"/>
      <c r="J1208" s="307">
        <f t="shared" si="416"/>
        <v>0</v>
      </c>
      <c r="K1208" s="306"/>
      <c r="M1208">
        <f t="shared" si="414"/>
        <v>0</v>
      </c>
      <c r="N1208" s="415"/>
      <c r="O1208" s="415"/>
    </row>
    <row r="1209" customFormat="1" ht="20" customHeight="1" spans="1:15">
      <c r="A1209" s="453"/>
      <c r="B1209" s="329" t="s">
        <v>1090</v>
      </c>
      <c r="C1209" s="343">
        <v>9000</v>
      </c>
      <c r="D1209" s="343"/>
      <c r="E1209" s="346">
        <v>11500</v>
      </c>
      <c r="F1209" s="414"/>
      <c r="G1209" s="346">
        <f t="shared" si="415"/>
        <v>2500</v>
      </c>
      <c r="H1209" s="414">
        <f t="shared" ref="H1209:H1213" si="433">G1209/C1209*100</f>
        <v>27.7777777777778</v>
      </c>
      <c r="I1209" s="343"/>
      <c r="J1209" s="307">
        <f t="shared" si="416"/>
        <v>0</v>
      </c>
      <c r="K1209" s="306"/>
      <c r="M1209">
        <f t="shared" si="414"/>
        <v>0</v>
      </c>
      <c r="N1209" s="415"/>
      <c r="O1209" s="415"/>
    </row>
    <row r="1210" customFormat="1" ht="20" customHeight="1" spans="1:15">
      <c r="A1210" s="453"/>
      <c r="B1210" s="329" t="s">
        <v>1091</v>
      </c>
      <c r="C1210" s="343">
        <v>0</v>
      </c>
      <c r="D1210" s="343"/>
      <c r="E1210" s="346"/>
      <c r="F1210" s="414"/>
      <c r="G1210" s="346">
        <f t="shared" si="415"/>
        <v>0</v>
      </c>
      <c r="H1210" s="414"/>
      <c r="I1210" s="343"/>
      <c r="J1210" s="307">
        <f t="shared" si="416"/>
        <v>0</v>
      </c>
      <c r="K1210" s="306"/>
      <c r="M1210">
        <f t="shared" si="414"/>
        <v>0</v>
      </c>
      <c r="N1210" s="415"/>
      <c r="O1210" s="415"/>
    </row>
    <row r="1211" customFormat="1" ht="20" customHeight="1" spans="1:15">
      <c r="A1211" s="453"/>
      <c r="B1211" s="329" t="s">
        <v>1092</v>
      </c>
      <c r="C1211" s="343">
        <v>0</v>
      </c>
      <c r="D1211" s="343"/>
      <c r="E1211" s="346"/>
      <c r="F1211" s="414"/>
      <c r="G1211" s="346">
        <f t="shared" si="415"/>
        <v>0</v>
      </c>
      <c r="H1211" s="414"/>
      <c r="I1211" s="343"/>
      <c r="J1211" s="307">
        <f t="shared" si="416"/>
        <v>0</v>
      </c>
      <c r="K1211" s="306"/>
      <c r="M1211">
        <f t="shared" si="414"/>
        <v>0</v>
      </c>
      <c r="N1211" s="415"/>
      <c r="O1211" s="415"/>
    </row>
    <row r="1212" customFormat="1" ht="20" customHeight="1" spans="1:15">
      <c r="A1212" s="453"/>
      <c r="B1212" s="329" t="s">
        <v>1093</v>
      </c>
      <c r="C1212" s="325">
        <v>16138</v>
      </c>
      <c r="D1212" s="325"/>
      <c r="E1212" s="347">
        <f>E1213+E1214</f>
        <v>16475</v>
      </c>
      <c r="F1212" s="414"/>
      <c r="G1212" s="346">
        <f t="shared" si="415"/>
        <v>337</v>
      </c>
      <c r="H1212" s="414">
        <f t="shared" si="433"/>
        <v>2.08823893914983</v>
      </c>
      <c r="I1212" s="325"/>
      <c r="J1212" s="307">
        <f t="shared" si="416"/>
        <v>0</v>
      </c>
      <c r="K1212" s="306"/>
      <c r="M1212">
        <f t="shared" si="414"/>
        <v>0</v>
      </c>
      <c r="N1212" s="415"/>
      <c r="O1212" s="415"/>
    </row>
    <row r="1213" customFormat="1" ht="20" customHeight="1" spans="1:15">
      <c r="A1213" s="453"/>
      <c r="B1213" s="329" t="s">
        <v>1094</v>
      </c>
      <c r="C1213" s="325">
        <v>16138</v>
      </c>
      <c r="D1213" s="343"/>
      <c r="E1213" s="346">
        <v>16475</v>
      </c>
      <c r="F1213" s="414"/>
      <c r="G1213" s="346">
        <f t="shared" si="415"/>
        <v>337</v>
      </c>
      <c r="H1213" s="414">
        <f t="shared" si="433"/>
        <v>2.08823893914983</v>
      </c>
      <c r="I1213" s="343"/>
      <c r="J1213" s="307">
        <f t="shared" si="416"/>
        <v>0</v>
      </c>
      <c r="K1213" s="306"/>
      <c r="M1213">
        <f t="shared" ref="M1213:M1215" si="434">N1213+O1213</f>
        <v>0</v>
      </c>
      <c r="N1213" s="415"/>
      <c r="O1213" s="415"/>
    </row>
    <row r="1214" customFormat="1" ht="20" customHeight="1" spans="1:15">
      <c r="A1214" s="453"/>
      <c r="B1214" s="329" t="s">
        <v>1095</v>
      </c>
      <c r="C1214" s="325">
        <v>0</v>
      </c>
      <c r="D1214" s="325"/>
      <c r="E1214" s="325"/>
      <c r="F1214" s="414"/>
      <c r="G1214" s="346">
        <f>E1214-C1214</f>
        <v>0</v>
      </c>
      <c r="H1214" s="414"/>
      <c r="I1214" s="325"/>
      <c r="J1214" s="307">
        <f t="shared" si="416"/>
        <v>0</v>
      </c>
      <c r="K1214" s="306"/>
      <c r="M1214">
        <f t="shared" si="434"/>
        <v>0</v>
      </c>
      <c r="N1214" s="415"/>
      <c r="O1214" s="415"/>
    </row>
    <row r="1215" s="277" customFormat="1" ht="20" customHeight="1" spans="1:15">
      <c r="A1215" s="454"/>
      <c r="B1215" s="455" t="s">
        <v>1096</v>
      </c>
      <c r="C1215" s="302">
        <f>C1200+C1201</f>
        <v>308065.558944</v>
      </c>
      <c r="D1215" s="302">
        <f t="shared" ref="D1215:I1215" si="435">D1200+D1201</f>
        <v>239749.63636</v>
      </c>
      <c r="E1215" s="302">
        <f t="shared" si="435"/>
        <v>324975.132668</v>
      </c>
      <c r="F1215" s="447">
        <f>E1215/D1215*100</f>
        <v>135.547706182973</v>
      </c>
      <c r="G1215" s="448">
        <f>E1215-C1215</f>
        <v>16909.573724</v>
      </c>
      <c r="H1215" s="447">
        <f>G1215/C1215*100</f>
        <v>5.48895299492853</v>
      </c>
      <c r="I1215" s="302">
        <f t="shared" si="435"/>
        <v>273128.114328</v>
      </c>
      <c r="J1215" s="302">
        <f t="shared" si="416"/>
        <v>33378.4779679999</v>
      </c>
      <c r="K1215" s="301">
        <f>J1215/D1215*100</f>
        <v>13.9222225629906</v>
      </c>
      <c r="M1215" s="277">
        <f t="shared" si="434"/>
        <v>0</v>
      </c>
      <c r="N1215" s="449"/>
      <c r="O1215" s="449"/>
    </row>
  </sheetData>
  <mergeCells count="13">
    <mergeCell ref="A1:K1"/>
    <mergeCell ref="J2:K2"/>
    <mergeCell ref="D3:H3"/>
    <mergeCell ref="I3:K3"/>
    <mergeCell ref="G4:H4"/>
    <mergeCell ref="J4:K4"/>
    <mergeCell ref="A3:A5"/>
    <mergeCell ref="B3:B5"/>
    <mergeCell ref="C4:C5"/>
    <mergeCell ref="D4:D5"/>
    <mergeCell ref="E4:E5"/>
    <mergeCell ref="F4:F5"/>
    <mergeCell ref="I4:I5"/>
  </mergeCells>
  <dataValidations count="1">
    <dataValidation type="decimal" operator="between" allowBlank="1" showInputMessage="1" showErrorMessage="1" sqref="E84 E143 E20:E27 E29:E30 E40:E49 E51:E60 E62:E71 E86:E87 E104:E111 E151:E155 E157:E158 E164:E169 E171:E176 E178:E183 E185:E190 E192:E198 E206:E210">
      <formula1>-99999999999999</formula1>
      <formula2>99999999999999</formula2>
    </dataValidation>
  </dataValidations>
  <pageMargins left="0.75" right="0.75" top="1" bottom="1" header="0.5" footer="0.5"/>
  <pageSetup paperSize="9" orientation="portrait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zoomScale="115" zoomScaleNormal="115" zoomScaleSheetLayoutView="60" workbookViewId="0">
      <pane xSplit="2" ySplit="4" topLeftCell="C13" activePane="bottomRight" state="frozen"/>
      <selection/>
      <selection pane="topRight"/>
      <selection pane="bottomLeft"/>
      <selection pane="bottomRight" activeCell="C43" sqref="C43"/>
    </sheetView>
  </sheetViews>
  <sheetFormatPr defaultColWidth="9" defaultRowHeight="15.75" outlineLevelCol="5"/>
  <cols>
    <col min="1" max="1" width="18.875" style="353" customWidth="1"/>
    <col min="2" max="2" width="34.225" style="278" customWidth="1"/>
    <col min="3" max="3" width="20.125" style="354" customWidth="1"/>
    <col min="4" max="5" width="12.625" style="354" customWidth="1"/>
    <col min="6" max="6" width="13.75"/>
    <col min="7" max="8" width="14.125"/>
    <col min="9" max="9" width="12.625"/>
  </cols>
  <sheetData>
    <row r="1" ht="44.25" customHeight="1" spans="1:5">
      <c r="A1" s="355" t="s">
        <v>1097</v>
      </c>
      <c r="B1" s="355"/>
      <c r="C1" s="356"/>
      <c r="D1" s="356"/>
      <c r="E1" s="356"/>
    </row>
    <row r="2" s="260" customFormat="1" ht="23" customHeight="1" spans="1:5">
      <c r="A2" s="357"/>
      <c r="B2" s="358"/>
      <c r="C2" s="359"/>
      <c r="D2" s="360" t="s">
        <v>1098</v>
      </c>
      <c r="E2" s="360"/>
    </row>
    <row r="3" s="81" customFormat="1" ht="20" customHeight="1" spans="1:5">
      <c r="A3" s="361" t="s">
        <v>1099</v>
      </c>
      <c r="B3" s="361" t="s">
        <v>1100</v>
      </c>
      <c r="C3" s="362" t="s">
        <v>1101</v>
      </c>
      <c r="D3" s="363" t="s">
        <v>1102</v>
      </c>
      <c r="E3" s="364"/>
    </row>
    <row r="4" s="81" customFormat="1" ht="20" customHeight="1" spans="1:5">
      <c r="A4" s="365"/>
      <c r="B4" s="365"/>
      <c r="C4" s="366"/>
      <c r="D4" s="367" t="s">
        <v>1103</v>
      </c>
      <c r="E4" s="368" t="s">
        <v>1104</v>
      </c>
    </row>
    <row r="5" ht="20" customHeight="1" spans="1:5">
      <c r="A5" s="369" t="s">
        <v>1105</v>
      </c>
      <c r="B5" s="370" t="s">
        <v>1106</v>
      </c>
      <c r="C5" s="371">
        <f>SUM(D5:E5)</f>
        <v>45432.224019</v>
      </c>
      <c r="D5" s="371">
        <f>SUM(D6:D9)</f>
        <v>33154.428039</v>
      </c>
      <c r="E5" s="371">
        <f>SUM(E6:E9)</f>
        <v>12277.79598</v>
      </c>
    </row>
    <row r="6" ht="20" customHeight="1" spans="1:5">
      <c r="A6" s="369" t="s">
        <v>1107</v>
      </c>
      <c r="B6" s="370" t="s">
        <v>1108</v>
      </c>
      <c r="C6" s="371">
        <f t="shared" ref="C6:C38" si="0">SUM(D6:E6)</f>
        <v>20481.54159</v>
      </c>
      <c r="D6" s="371">
        <v>20466.54159</v>
      </c>
      <c r="E6" s="371">
        <v>15</v>
      </c>
    </row>
    <row r="7" ht="20" customHeight="1" spans="1:5">
      <c r="A7" s="369" t="s">
        <v>1109</v>
      </c>
      <c r="B7" s="370" t="s">
        <v>1110</v>
      </c>
      <c r="C7" s="371">
        <f t="shared" si="0"/>
        <v>9105.569175</v>
      </c>
      <c r="D7" s="371">
        <v>7606.699307</v>
      </c>
      <c r="E7" s="371">
        <v>1498.869868</v>
      </c>
    </row>
    <row r="8" ht="20" customHeight="1" spans="1:5">
      <c r="A8" s="369" t="s">
        <v>1111</v>
      </c>
      <c r="B8" s="370" t="s">
        <v>987</v>
      </c>
      <c r="C8" s="371">
        <f t="shared" si="0"/>
        <v>3228.762282</v>
      </c>
      <c r="D8" s="371">
        <v>3057.32617</v>
      </c>
      <c r="E8" s="371">
        <v>171.436112</v>
      </c>
    </row>
    <row r="9" ht="20" customHeight="1" spans="1:5">
      <c r="A9" s="369" t="s">
        <v>1112</v>
      </c>
      <c r="B9" s="370" t="s">
        <v>1113</v>
      </c>
      <c r="C9" s="371">
        <f t="shared" si="0"/>
        <v>12616.350972</v>
      </c>
      <c r="D9" s="371">
        <v>2023.860972</v>
      </c>
      <c r="E9" s="371">
        <v>10592.49</v>
      </c>
    </row>
    <row r="10" ht="20" customHeight="1" spans="1:5">
      <c r="A10" s="369" t="s">
        <v>1114</v>
      </c>
      <c r="B10" s="370" t="s">
        <v>1115</v>
      </c>
      <c r="C10" s="371">
        <f t="shared" si="0"/>
        <v>10573.785</v>
      </c>
      <c r="D10" s="371">
        <f>SUM(D11:D19)</f>
        <v>1677.526</v>
      </c>
      <c r="E10" s="371">
        <f>SUM(E11:E19)</f>
        <v>8896.259</v>
      </c>
    </row>
    <row r="11" ht="20" customHeight="1" spans="1:5">
      <c r="A11" s="369" t="s">
        <v>1116</v>
      </c>
      <c r="B11" s="370" t="s">
        <v>1117</v>
      </c>
      <c r="C11" s="371">
        <f t="shared" si="0"/>
        <v>3555.728</v>
      </c>
      <c r="D11" s="371">
        <v>1190.728</v>
      </c>
      <c r="E11" s="371">
        <v>2365</v>
      </c>
    </row>
    <row r="12" ht="20" customHeight="1" spans="1:5">
      <c r="A12" s="369" t="s">
        <v>1118</v>
      </c>
      <c r="B12" s="370" t="s">
        <v>1119</v>
      </c>
      <c r="C12" s="371">
        <f t="shared" si="0"/>
        <v>189.99</v>
      </c>
      <c r="D12" s="371">
        <v>57.99</v>
      </c>
      <c r="E12" s="371">
        <v>132</v>
      </c>
    </row>
    <row r="13" ht="20" customHeight="1" spans="1:5">
      <c r="A13" s="369" t="s">
        <v>1120</v>
      </c>
      <c r="B13" s="370" t="s">
        <v>1121</v>
      </c>
      <c r="C13" s="371">
        <f t="shared" si="0"/>
        <v>274.321</v>
      </c>
      <c r="D13" s="371">
        <v>77.32</v>
      </c>
      <c r="E13" s="371">
        <v>197.001</v>
      </c>
    </row>
    <row r="14" ht="20" customHeight="1" spans="1:5">
      <c r="A14" s="369" t="s">
        <v>1122</v>
      </c>
      <c r="B14" s="370" t="s">
        <v>1123</v>
      </c>
      <c r="C14" s="371">
        <f t="shared" si="0"/>
        <v>63.4</v>
      </c>
      <c r="D14" s="371"/>
      <c r="E14" s="371">
        <v>63.4</v>
      </c>
    </row>
    <row r="15" ht="20" customHeight="1" spans="1:5">
      <c r="A15" s="369" t="s">
        <v>1124</v>
      </c>
      <c r="B15" s="370" t="s">
        <v>1125</v>
      </c>
      <c r="C15" s="371">
        <f t="shared" si="0"/>
        <v>285.438</v>
      </c>
      <c r="D15" s="371"/>
      <c r="E15" s="371">
        <v>285.438</v>
      </c>
    </row>
    <row r="16" ht="20" customHeight="1" spans="1:5">
      <c r="A16" s="369" t="s">
        <v>1126</v>
      </c>
      <c r="B16" s="370" t="s">
        <v>1127</v>
      </c>
      <c r="C16" s="371">
        <f t="shared" si="0"/>
        <v>181.293</v>
      </c>
      <c r="D16" s="371">
        <v>13.293</v>
      </c>
      <c r="E16" s="371">
        <v>168</v>
      </c>
    </row>
    <row r="17" ht="20" customHeight="1" spans="1:5">
      <c r="A17" s="369" t="s">
        <v>1128</v>
      </c>
      <c r="B17" s="370" t="s">
        <v>1129</v>
      </c>
      <c r="C17" s="371">
        <f t="shared" si="0"/>
        <v>246.32</v>
      </c>
      <c r="D17" s="371">
        <v>143.4</v>
      </c>
      <c r="E17" s="371">
        <v>102.92</v>
      </c>
    </row>
    <row r="18" ht="20" customHeight="1" spans="1:5">
      <c r="A18" s="369" t="s">
        <v>1130</v>
      </c>
      <c r="B18" s="370" t="s">
        <v>1131</v>
      </c>
      <c r="C18" s="371">
        <f t="shared" si="0"/>
        <v>179.82</v>
      </c>
      <c r="D18" s="371">
        <v>77.32</v>
      </c>
      <c r="E18" s="371">
        <v>102.5</v>
      </c>
    </row>
    <row r="19" ht="20" customHeight="1" spans="1:5">
      <c r="A19" s="369" t="s">
        <v>1132</v>
      </c>
      <c r="B19" s="370" t="s">
        <v>1133</v>
      </c>
      <c r="C19" s="371">
        <f t="shared" si="0"/>
        <v>5597.475</v>
      </c>
      <c r="D19" s="371">
        <v>117.475</v>
      </c>
      <c r="E19" s="371">
        <v>5480</v>
      </c>
    </row>
    <row r="20" ht="20" customHeight="1" spans="1:5">
      <c r="A20" s="369" t="s">
        <v>1134</v>
      </c>
      <c r="B20" s="370" t="s">
        <v>1135</v>
      </c>
      <c r="C20" s="371">
        <f t="shared" si="0"/>
        <v>1023.5</v>
      </c>
      <c r="D20" s="371"/>
      <c r="E20" s="371">
        <f>SUM(E21:E26)</f>
        <v>1023.5</v>
      </c>
    </row>
    <row r="21" ht="20" customHeight="1" spans="1:5">
      <c r="A21" s="369" t="s">
        <v>1136</v>
      </c>
      <c r="B21" s="370" t="s">
        <v>1137</v>
      </c>
      <c r="C21" s="371">
        <f t="shared" ref="C21:C26" si="1">SUM(D21:E21)</f>
        <v>120</v>
      </c>
      <c r="D21" s="371"/>
      <c r="E21" s="372">
        <v>120</v>
      </c>
    </row>
    <row r="22" ht="20" customHeight="1" spans="1:5">
      <c r="A22" s="369" t="s">
        <v>1138</v>
      </c>
      <c r="B22" s="370" t="s">
        <v>1139</v>
      </c>
      <c r="C22" s="371"/>
      <c r="D22" s="371"/>
      <c r="E22" s="371"/>
    </row>
    <row r="23" ht="20" customHeight="1" spans="1:5">
      <c r="A23" s="369" t="s">
        <v>1140</v>
      </c>
      <c r="B23" s="370" t="s">
        <v>1141</v>
      </c>
      <c r="C23" s="371">
        <f t="shared" si="1"/>
        <v>100</v>
      </c>
      <c r="D23" s="371"/>
      <c r="E23" s="371">
        <v>100</v>
      </c>
    </row>
    <row r="24" ht="20" customHeight="1" spans="1:5">
      <c r="A24" s="369" t="s">
        <v>1142</v>
      </c>
      <c r="B24" s="370" t="s">
        <v>1143</v>
      </c>
      <c r="C24" s="371"/>
      <c r="D24" s="371"/>
      <c r="E24" s="371">
        <v>253.5</v>
      </c>
    </row>
    <row r="25" ht="20" customHeight="1" spans="1:5">
      <c r="A25" s="369" t="s">
        <v>1144</v>
      </c>
      <c r="B25" s="370" t="s">
        <v>1145</v>
      </c>
      <c r="C25" s="371">
        <f t="shared" si="1"/>
        <v>550</v>
      </c>
      <c r="D25" s="371"/>
      <c r="E25" s="371">
        <v>550</v>
      </c>
    </row>
    <row r="26" ht="20" customHeight="1" spans="1:5">
      <c r="A26" s="369" t="s">
        <v>1146</v>
      </c>
      <c r="B26" s="370" t="s">
        <v>1147</v>
      </c>
      <c r="C26" s="371"/>
      <c r="D26" s="371"/>
      <c r="E26" s="371"/>
    </row>
    <row r="27" ht="20" customHeight="1" spans="1:5">
      <c r="A27" s="369" t="s">
        <v>1148</v>
      </c>
      <c r="B27" s="370" t="s">
        <v>1149</v>
      </c>
      <c r="C27" s="371"/>
      <c r="D27" s="371"/>
      <c r="E27" s="371"/>
    </row>
    <row r="28" ht="20" customHeight="1" spans="1:5">
      <c r="A28" s="369" t="s">
        <v>1150</v>
      </c>
      <c r="B28" s="370" t="s">
        <v>1145</v>
      </c>
      <c r="C28" s="371"/>
      <c r="D28" s="371"/>
      <c r="E28" s="371"/>
    </row>
    <row r="29" ht="20" customHeight="1" spans="1:5">
      <c r="A29" s="369" t="s">
        <v>1151</v>
      </c>
      <c r="B29" s="370" t="s">
        <v>1147</v>
      </c>
      <c r="C29" s="371"/>
      <c r="D29" s="371"/>
      <c r="E29" s="371"/>
    </row>
    <row r="30" ht="20" customHeight="1" spans="1:5">
      <c r="A30" s="369" t="s">
        <v>1152</v>
      </c>
      <c r="B30" s="370" t="s">
        <v>1153</v>
      </c>
      <c r="C30" s="371">
        <f t="shared" si="0"/>
        <v>80788.949989</v>
      </c>
      <c r="D30" s="371">
        <f>SUM(D31:D33)</f>
        <v>75695.1</v>
      </c>
      <c r="E30" s="371">
        <f>SUM(E31:E33)</f>
        <v>5093.849989</v>
      </c>
    </row>
    <row r="31" ht="20" customHeight="1" spans="1:5">
      <c r="A31" s="369" t="s">
        <v>1154</v>
      </c>
      <c r="B31" s="370" t="s">
        <v>1155</v>
      </c>
      <c r="C31" s="371">
        <f t="shared" si="0"/>
        <v>77605.149989</v>
      </c>
      <c r="D31" s="371">
        <v>73197.3</v>
      </c>
      <c r="E31" s="371">
        <v>4407.849989</v>
      </c>
    </row>
    <row r="32" ht="20" customHeight="1" spans="1:5">
      <c r="A32" s="369" t="s">
        <v>1156</v>
      </c>
      <c r="B32" s="370" t="s">
        <v>1157</v>
      </c>
      <c r="C32" s="371">
        <f t="shared" si="0"/>
        <v>3183.8</v>
      </c>
      <c r="D32" s="371">
        <v>2497.8</v>
      </c>
      <c r="E32" s="371">
        <v>686</v>
      </c>
    </row>
    <row r="33" ht="20" customHeight="1" spans="1:6">
      <c r="A33" s="369" t="s">
        <v>1158</v>
      </c>
      <c r="B33" s="370" t="s">
        <v>1159</v>
      </c>
      <c r="C33" s="371"/>
      <c r="D33" s="371"/>
      <c r="E33" s="371"/>
    </row>
    <row r="34" ht="20" customHeight="1" spans="1:6">
      <c r="A34" s="369" t="s">
        <v>1160</v>
      </c>
      <c r="B34" s="370" t="s">
        <v>1161</v>
      </c>
      <c r="C34" s="371"/>
      <c r="D34" s="371"/>
      <c r="E34" s="371"/>
    </row>
    <row r="35" ht="20" customHeight="1" spans="1:6">
      <c r="A35" s="369" t="s">
        <v>1162</v>
      </c>
      <c r="B35" s="370" t="s">
        <v>1163</v>
      </c>
      <c r="C35" s="371"/>
      <c r="D35" s="371"/>
      <c r="E35" s="371"/>
    </row>
    <row r="36" ht="20" customHeight="1" spans="1:6">
      <c r="A36" s="369" t="s">
        <v>1164</v>
      </c>
      <c r="B36" s="370" t="s">
        <v>1165</v>
      </c>
      <c r="C36" s="371"/>
      <c r="D36" s="371"/>
      <c r="E36" s="371"/>
    </row>
    <row r="37" ht="20" customHeight="1" spans="1:6">
      <c r="A37" s="369" t="s">
        <v>1166</v>
      </c>
      <c r="B37" s="370" t="s">
        <v>1167</v>
      </c>
      <c r="C37" s="371">
        <f t="shared" si="0"/>
        <v>3</v>
      </c>
      <c r="D37" s="371"/>
      <c r="E37" s="371">
        <f>SUM(E38:E40)</f>
        <v>3</v>
      </c>
    </row>
    <row r="38" ht="20" customHeight="1" spans="1:6">
      <c r="A38" s="369" t="s">
        <v>1168</v>
      </c>
      <c r="B38" s="370" t="s">
        <v>1169</v>
      </c>
      <c r="C38" s="371"/>
      <c r="D38" s="371"/>
      <c r="E38" s="372"/>
    </row>
    <row r="39" ht="20" customHeight="1" spans="1:6">
      <c r="A39" s="369" t="s">
        <v>1170</v>
      </c>
      <c r="B39" s="370" t="s">
        <v>1171</v>
      </c>
      <c r="C39" s="371"/>
      <c r="D39" s="371"/>
      <c r="E39" s="371"/>
    </row>
    <row r="40" ht="20" customHeight="1" spans="1:6">
      <c r="A40" s="369" t="s">
        <v>1172</v>
      </c>
      <c r="B40" s="370" t="s">
        <v>1173</v>
      </c>
      <c r="C40" s="371">
        <f>SUM(D40:E40)</f>
        <v>3</v>
      </c>
      <c r="D40" s="371"/>
      <c r="E40" s="372">
        <v>3</v>
      </c>
    </row>
    <row r="41" ht="20" customHeight="1" spans="1:6">
      <c r="A41" s="369" t="s">
        <v>1174</v>
      </c>
      <c r="B41" s="370" t="s">
        <v>1175</v>
      </c>
      <c r="C41" s="371"/>
      <c r="D41" s="371"/>
      <c r="E41" s="371"/>
    </row>
    <row r="42" ht="20" customHeight="1" spans="1:6">
      <c r="A42" s="369" t="s">
        <v>1176</v>
      </c>
      <c r="B42" s="370" t="s">
        <v>1177</v>
      </c>
      <c r="C42" s="371"/>
      <c r="D42" s="371"/>
      <c r="E42" s="371"/>
    </row>
    <row r="43" ht="20" customHeight="1" spans="1:6">
      <c r="A43" s="369" t="s">
        <v>1178</v>
      </c>
      <c r="B43" s="370" t="s">
        <v>1179</v>
      </c>
      <c r="C43" s="371">
        <f>SUM(D43:E43)</f>
        <v>24134.909498</v>
      </c>
      <c r="D43" s="371">
        <f>SUM(D44:D48)</f>
        <v>4564.857098</v>
      </c>
      <c r="E43" s="371">
        <f>SUM(E44:E48)</f>
        <v>19570.0524</v>
      </c>
      <c r="F43" s="373"/>
    </row>
    <row r="44" ht="20" customHeight="1" spans="1:6">
      <c r="A44" s="369" t="s">
        <v>1180</v>
      </c>
      <c r="B44" s="370" t="s">
        <v>1181</v>
      </c>
      <c r="C44" s="371">
        <f>SUM(D44:E44)</f>
        <v>10346.209498</v>
      </c>
      <c r="D44" s="371">
        <v>3052.457098</v>
      </c>
      <c r="E44" s="371">
        <v>7293.7524</v>
      </c>
    </row>
    <row r="45" ht="20" customHeight="1" spans="1:6">
      <c r="A45" s="369" t="s">
        <v>1182</v>
      </c>
      <c r="B45" s="370" t="s">
        <v>1183</v>
      </c>
      <c r="C45" s="371">
        <f>SUM(D45:E45)</f>
        <v>296.3</v>
      </c>
      <c r="D45" s="371"/>
      <c r="E45" s="371">
        <v>296.3</v>
      </c>
    </row>
    <row r="46" ht="20" customHeight="1" spans="1:6">
      <c r="A46" s="369" t="s">
        <v>1184</v>
      </c>
      <c r="B46" s="370" t="s">
        <v>1185</v>
      </c>
      <c r="C46" s="371"/>
      <c r="D46" s="371"/>
      <c r="E46" s="371">
        <v>644</v>
      </c>
    </row>
    <row r="47" ht="20" customHeight="1" spans="1:6">
      <c r="A47" s="369" t="s">
        <v>1186</v>
      </c>
      <c r="B47" s="370" t="s">
        <v>1187</v>
      </c>
      <c r="C47" s="371">
        <f>SUM(D47:E47)</f>
        <v>10114.4</v>
      </c>
      <c r="D47" s="371">
        <v>1512.4</v>
      </c>
      <c r="E47" s="371">
        <v>8602</v>
      </c>
    </row>
    <row r="48" ht="20" customHeight="1" spans="1:6">
      <c r="A48" s="369" t="s">
        <v>1188</v>
      </c>
      <c r="B48" s="370" t="s">
        <v>1189</v>
      </c>
      <c r="C48" s="371">
        <f>SUM(D48:E48)</f>
        <v>2734</v>
      </c>
      <c r="D48" s="371"/>
      <c r="E48" s="371">
        <v>2734</v>
      </c>
    </row>
    <row r="49" ht="20" customHeight="1" spans="1:5">
      <c r="A49" s="369" t="s">
        <v>1190</v>
      </c>
      <c r="B49" s="370" t="s">
        <v>1191</v>
      </c>
      <c r="C49" s="371">
        <f>C50</f>
        <v>3494.3</v>
      </c>
      <c r="D49" s="371"/>
      <c r="E49" s="371">
        <f>E50</f>
        <v>3494.3</v>
      </c>
    </row>
    <row r="50" ht="20" customHeight="1" spans="1:5">
      <c r="A50" s="369" t="s">
        <v>1192</v>
      </c>
      <c r="B50" s="370" t="s">
        <v>1193</v>
      </c>
      <c r="C50" s="371">
        <f>SUM(D50:E50)</f>
        <v>3494.3</v>
      </c>
      <c r="D50" s="371"/>
      <c r="E50" s="372">
        <v>3494.3</v>
      </c>
    </row>
    <row r="51" ht="20" customHeight="1" spans="1:5">
      <c r="A51" s="369" t="s">
        <v>1194</v>
      </c>
      <c r="B51" s="370" t="s">
        <v>1195</v>
      </c>
      <c r="C51" s="371">
        <f>SUM(D51:E51)</f>
        <v>2863</v>
      </c>
      <c r="D51" s="371"/>
      <c r="E51" s="371">
        <f>SUM(E52:E53)</f>
        <v>2863</v>
      </c>
    </row>
    <row r="52" ht="20" customHeight="1" spans="1:5">
      <c r="A52" s="369" t="s">
        <v>1196</v>
      </c>
      <c r="B52" s="370" t="s">
        <v>1197</v>
      </c>
      <c r="C52" s="371">
        <f t="shared" ref="C51:C57" si="2">SUM(D52:E52)</f>
        <v>2863</v>
      </c>
      <c r="D52" s="371"/>
      <c r="E52" s="371">
        <v>2863</v>
      </c>
    </row>
    <row r="53" ht="20" customHeight="1" spans="1:5">
      <c r="A53" s="369" t="s">
        <v>1198</v>
      </c>
      <c r="B53" s="370" t="s">
        <v>1199</v>
      </c>
      <c r="C53" s="371"/>
      <c r="D53" s="371"/>
      <c r="E53" s="371"/>
    </row>
    <row r="54" ht="20" customHeight="1" spans="1:5">
      <c r="A54" s="369" t="s">
        <v>1200</v>
      </c>
      <c r="B54" s="370" t="s">
        <v>1201</v>
      </c>
      <c r="C54" s="371">
        <f t="shared" si="2"/>
        <v>678</v>
      </c>
      <c r="D54" s="371"/>
      <c r="E54" s="371">
        <f>E55</f>
        <v>678</v>
      </c>
    </row>
    <row r="55" ht="20" customHeight="1" spans="1:5">
      <c r="A55" s="369" t="s">
        <v>1202</v>
      </c>
      <c r="B55" s="370" t="s">
        <v>1203</v>
      </c>
      <c r="C55" s="371">
        <f t="shared" si="2"/>
        <v>678</v>
      </c>
      <c r="D55" s="371"/>
      <c r="E55" s="371">
        <v>678</v>
      </c>
    </row>
    <row r="56" ht="20" customHeight="1" spans="1:5">
      <c r="A56" s="369" t="s">
        <v>1204</v>
      </c>
      <c r="B56" s="370" t="s">
        <v>1205</v>
      </c>
      <c r="C56" s="371">
        <f t="shared" si="2"/>
        <v>1850</v>
      </c>
      <c r="D56" s="371"/>
      <c r="E56" s="371">
        <f>E57</f>
        <v>1850</v>
      </c>
    </row>
    <row r="57" ht="20" customHeight="1" spans="1:5">
      <c r="A57" s="369" t="s">
        <v>1206</v>
      </c>
      <c r="B57" s="370" t="s">
        <v>1207</v>
      </c>
      <c r="C57" s="371">
        <f t="shared" si="2"/>
        <v>1850</v>
      </c>
      <c r="D57" s="371"/>
      <c r="E57" s="371">
        <v>1850</v>
      </c>
    </row>
    <row r="58" ht="20" customHeight="1" spans="1:5">
      <c r="A58" s="369" t="s">
        <v>1208</v>
      </c>
      <c r="B58" s="370" t="s">
        <v>1209</v>
      </c>
      <c r="C58" s="371">
        <f>C59</f>
        <v>2278</v>
      </c>
      <c r="D58" s="371"/>
      <c r="E58" s="371">
        <f>E59</f>
        <v>2278</v>
      </c>
    </row>
    <row r="59" ht="20" customHeight="1" spans="1:5">
      <c r="A59" s="369" t="s">
        <v>1210</v>
      </c>
      <c r="B59" s="370" t="s">
        <v>1069</v>
      </c>
      <c r="C59" s="371">
        <f>SUM(D59:E59)</f>
        <v>2278</v>
      </c>
      <c r="D59" s="371"/>
      <c r="E59" s="371">
        <v>2278</v>
      </c>
    </row>
    <row r="60" s="3" customFormat="1" ht="20" customHeight="1" spans="1:5">
      <c r="A60" s="374"/>
      <c r="B60" s="375" t="s">
        <v>1211</v>
      </c>
      <c r="C60" s="376">
        <f>C5+C10+C20+C27+C30+C34+C37+C41+C43+C49+C51+C54+C56+C58</f>
        <v>173119.668506</v>
      </c>
      <c r="D60" s="376">
        <f>D5+D10+D20+D27+D30+D34+D37+D41+D43+D49+D51+D54+D56+D58</f>
        <v>115091.911137</v>
      </c>
      <c r="E60" s="376">
        <f>E5+E10+E20+E27+E30+E34+E37+E41+E43+E49+E51+E54+E56+E58</f>
        <v>58027.757369</v>
      </c>
    </row>
    <row r="61" ht="20" customHeight="1" spans="1:5">
      <c r="A61" s="369"/>
      <c r="B61" s="370" t="s">
        <v>162</v>
      </c>
      <c r="C61" s="371">
        <v>16475</v>
      </c>
      <c r="D61" s="377"/>
      <c r="E61" s="371">
        <v>16475</v>
      </c>
    </row>
    <row r="62" ht="20" customHeight="1" spans="1:5">
      <c r="A62" s="369"/>
      <c r="B62" s="370" t="s">
        <v>1212</v>
      </c>
      <c r="C62" s="371">
        <v>78058</v>
      </c>
      <c r="D62" s="371"/>
      <c r="E62" s="371">
        <v>78058</v>
      </c>
    </row>
    <row r="63" s="3" customFormat="1" ht="20" customHeight="1" spans="1:5">
      <c r="A63" s="378"/>
      <c r="B63" s="379" t="s">
        <v>1081</v>
      </c>
      <c r="C63" s="376">
        <f>D63+E63</f>
        <v>267652.668506</v>
      </c>
      <c r="D63" s="376">
        <f>SUM(D60:D62)</f>
        <v>115091.911137</v>
      </c>
      <c r="E63" s="376">
        <f>SUM(E60:E62)</f>
        <v>152560.757369</v>
      </c>
    </row>
  </sheetData>
  <mergeCells count="6">
    <mergeCell ref="A1:E1"/>
    <mergeCell ref="D2:E2"/>
    <mergeCell ref="D3:E3"/>
    <mergeCell ref="A3:A4"/>
    <mergeCell ref="B3:B4"/>
    <mergeCell ref="C3:C4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7"/>
  <sheetViews>
    <sheetView showZeros="0" zoomScale="115" zoomScaleNormal="115" zoomScaleSheetLayoutView="60" workbookViewId="0">
      <pane xSplit="1" ySplit="5" topLeftCell="B106" activePane="bottomRight" state="frozen"/>
      <selection/>
      <selection pane="topRight"/>
      <selection pane="bottomLeft"/>
      <selection pane="bottomRight" activeCell="B111" sqref="B111"/>
    </sheetView>
  </sheetViews>
  <sheetFormatPr defaultColWidth="9" defaultRowHeight="15.75"/>
  <cols>
    <col min="1" max="1" width="47.75" style="279" customWidth="1"/>
    <col min="2" max="4" width="12.625" style="280" customWidth="1"/>
    <col min="5" max="5" width="12.625" style="281" customWidth="1"/>
    <col min="6" max="6" width="12.625" style="282" customWidth="1"/>
    <col min="7" max="7" width="12.625" style="281" customWidth="1"/>
    <col min="8" max="8" width="12.625" style="280" customWidth="1"/>
    <col min="9" max="9" width="12.625" style="282" customWidth="1"/>
    <col min="10" max="10" width="12.625" style="281" customWidth="1"/>
    <col min="11" max="11" width="9" style="278"/>
    <col min="12" max="12" width="10.375" style="278"/>
    <col min="13" max="16384" width="9" style="278"/>
  </cols>
  <sheetData>
    <row r="1" ht="24" spans="1:21">
      <c r="A1" s="283" t="s">
        <v>1213</v>
      </c>
      <c r="B1" s="284"/>
      <c r="C1" s="284"/>
      <c r="D1" s="284"/>
      <c r="E1" s="285"/>
      <c r="F1" s="286"/>
      <c r="G1" s="285"/>
      <c r="H1" s="284"/>
      <c r="I1" s="286"/>
      <c r="J1" s="285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</row>
    <row r="2" spans="1:21">
      <c r="A2" s="288"/>
      <c r="B2" s="284"/>
      <c r="C2" s="284"/>
      <c r="D2" s="284"/>
      <c r="E2" s="285"/>
      <c r="F2" s="286"/>
      <c r="G2" s="285"/>
      <c r="H2" s="284"/>
      <c r="I2" s="289" t="s">
        <v>26</v>
      </c>
      <c r="J2" s="290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</row>
    <row r="3" s="276" customFormat="1" ht="20" customHeight="1" spans="1:21">
      <c r="A3" s="291" t="s">
        <v>27</v>
      </c>
      <c r="B3" s="292" t="s">
        <v>28</v>
      </c>
      <c r="C3" s="292" t="s">
        <v>29</v>
      </c>
      <c r="D3" s="292"/>
      <c r="E3" s="293"/>
      <c r="F3" s="294"/>
      <c r="G3" s="293"/>
      <c r="H3" s="292" t="s">
        <v>30</v>
      </c>
      <c r="I3" s="294"/>
      <c r="J3" s="293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="276" customFormat="1" ht="20" customHeight="1" spans="1:21">
      <c r="A4" s="291"/>
      <c r="B4" s="296" t="s">
        <v>31</v>
      </c>
      <c r="C4" s="292" t="s">
        <v>32</v>
      </c>
      <c r="D4" s="292" t="s">
        <v>33</v>
      </c>
      <c r="E4" s="293" t="s">
        <v>34</v>
      </c>
      <c r="F4" s="294" t="s">
        <v>35</v>
      </c>
      <c r="G4" s="293"/>
      <c r="H4" s="292" t="s">
        <v>1214</v>
      </c>
      <c r="I4" s="297" t="s">
        <v>37</v>
      </c>
      <c r="J4" s="293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</row>
    <row r="5" s="276" customFormat="1" ht="20" customHeight="1" spans="1:21">
      <c r="A5" s="291"/>
      <c r="B5" s="298"/>
      <c r="C5" s="292"/>
      <c r="D5" s="292"/>
      <c r="E5" s="293"/>
      <c r="F5" s="294" t="s">
        <v>38</v>
      </c>
      <c r="G5" s="293" t="s">
        <v>39</v>
      </c>
      <c r="H5" s="292"/>
      <c r="I5" s="294" t="s">
        <v>38</v>
      </c>
      <c r="J5" s="293" t="s">
        <v>39</v>
      </c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</row>
    <row r="6" s="277" customFormat="1" ht="20" customHeight="1" spans="1:21">
      <c r="A6" s="299" t="s">
        <v>40</v>
      </c>
      <c r="B6" s="300">
        <f>SUM(B7:B23)</f>
        <v>43720</v>
      </c>
      <c r="C6" s="300">
        <f t="shared" ref="C6:H6" si="0">SUM(C7:C23)</f>
        <v>45816</v>
      </c>
      <c r="D6" s="300">
        <f t="shared" si="0"/>
        <v>43718</v>
      </c>
      <c r="E6" s="301">
        <f>D6/C6*100</f>
        <v>95.4208136895408</v>
      </c>
      <c r="F6" s="302">
        <f>D6-B6</f>
        <v>-2</v>
      </c>
      <c r="G6" s="301">
        <f>F6/B6*100</f>
        <v>-0.00457456541628545</v>
      </c>
      <c r="H6" s="303">
        <f t="shared" si="0"/>
        <v>47190</v>
      </c>
      <c r="I6" s="302">
        <f>H6-D6</f>
        <v>3472</v>
      </c>
      <c r="J6" s="301">
        <f>I6/D6*100</f>
        <v>7.94180886591335</v>
      </c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</row>
    <row r="7" ht="20" customHeight="1" spans="1:21">
      <c r="A7" s="305" t="s">
        <v>41</v>
      </c>
      <c r="B7" s="190">
        <v>17544</v>
      </c>
      <c r="C7" s="190">
        <v>19422</v>
      </c>
      <c r="D7" s="190">
        <v>18284</v>
      </c>
      <c r="E7" s="306">
        <f t="shared" ref="E7:E38" si="1">D7/C7*100</f>
        <v>94.1406652250026</v>
      </c>
      <c r="F7" s="307">
        <f t="shared" ref="F7:F38" si="2">D7-B7</f>
        <v>740</v>
      </c>
      <c r="G7" s="306">
        <f t="shared" ref="G7:G38" si="3">F7/B7*100</f>
        <v>4.21796625626995</v>
      </c>
      <c r="H7" s="308">
        <v>19200</v>
      </c>
      <c r="I7" s="307">
        <f t="shared" ref="I7:I38" si="4">H7-D7</f>
        <v>916</v>
      </c>
      <c r="J7" s="306">
        <f t="shared" ref="J7:J38" si="5">I7/D7*100</f>
        <v>5.00984467293809</v>
      </c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</row>
    <row r="8" ht="20" customHeight="1" spans="1:21">
      <c r="A8" s="305" t="s">
        <v>42</v>
      </c>
      <c r="B8" s="190"/>
      <c r="C8" s="190"/>
      <c r="D8" s="190"/>
      <c r="E8" s="306"/>
      <c r="F8" s="307">
        <f t="shared" si="2"/>
        <v>0</v>
      </c>
      <c r="G8" s="306"/>
      <c r="H8" s="308"/>
      <c r="I8" s="307">
        <f t="shared" si="4"/>
        <v>0</v>
      </c>
      <c r="J8" s="306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</row>
    <row r="9" ht="20" customHeight="1" spans="1:21">
      <c r="A9" s="305" t="s">
        <v>43</v>
      </c>
      <c r="B9" s="190">
        <v>4047</v>
      </c>
      <c r="C9" s="190">
        <v>4093</v>
      </c>
      <c r="D9" s="190">
        <v>4792</v>
      </c>
      <c r="E9" s="306">
        <f t="shared" si="1"/>
        <v>117.077937942829</v>
      </c>
      <c r="F9" s="307">
        <f t="shared" si="2"/>
        <v>745</v>
      </c>
      <c r="G9" s="306">
        <f t="shared" si="3"/>
        <v>18.4086978008401</v>
      </c>
      <c r="H9" s="309">
        <v>4800</v>
      </c>
      <c r="I9" s="307">
        <f t="shared" si="4"/>
        <v>8</v>
      </c>
      <c r="J9" s="306">
        <f t="shared" si="5"/>
        <v>0.1669449081803</v>
      </c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</row>
    <row r="10" ht="20" customHeight="1" spans="1:21">
      <c r="A10" s="305" t="s">
        <v>44</v>
      </c>
      <c r="B10" s="190"/>
      <c r="C10" s="190"/>
      <c r="D10" s="190"/>
      <c r="E10" s="306"/>
      <c r="F10" s="307">
        <f t="shared" si="2"/>
        <v>0</v>
      </c>
      <c r="G10" s="306"/>
      <c r="H10" s="309"/>
      <c r="I10" s="307">
        <f t="shared" si="4"/>
        <v>0</v>
      </c>
      <c r="J10" s="306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</row>
    <row r="11" ht="20" customHeight="1" spans="1:21">
      <c r="A11" s="305" t="s">
        <v>45</v>
      </c>
      <c r="B11" s="190">
        <v>1282</v>
      </c>
      <c r="C11" s="190">
        <v>1263</v>
      </c>
      <c r="D11" s="190">
        <v>1095</v>
      </c>
      <c r="E11" s="306">
        <f t="shared" si="1"/>
        <v>86.6983372921615</v>
      </c>
      <c r="F11" s="307">
        <f t="shared" si="2"/>
        <v>-187</v>
      </c>
      <c r="G11" s="306">
        <f t="shared" si="3"/>
        <v>-14.5865834633385</v>
      </c>
      <c r="H11" s="308">
        <v>1325</v>
      </c>
      <c r="I11" s="307">
        <f t="shared" si="4"/>
        <v>230</v>
      </c>
      <c r="J11" s="306">
        <f t="shared" si="5"/>
        <v>21.0045662100457</v>
      </c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</row>
    <row r="12" ht="20" customHeight="1" spans="1:21">
      <c r="A12" s="305" t="s">
        <v>46</v>
      </c>
      <c r="B12" s="190">
        <v>822</v>
      </c>
      <c r="C12" s="190">
        <v>860</v>
      </c>
      <c r="D12" s="190">
        <v>1207</v>
      </c>
      <c r="E12" s="306">
        <f t="shared" si="1"/>
        <v>140.348837209302</v>
      </c>
      <c r="F12" s="307">
        <f t="shared" si="2"/>
        <v>385</v>
      </c>
      <c r="G12" s="306">
        <f t="shared" si="3"/>
        <v>46.8369829683698</v>
      </c>
      <c r="H12" s="308">
        <v>1500</v>
      </c>
      <c r="I12" s="307">
        <f t="shared" si="4"/>
        <v>293</v>
      </c>
      <c r="J12" s="306">
        <f t="shared" si="5"/>
        <v>24.2750621375311</v>
      </c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</row>
    <row r="13" ht="20" customHeight="1" spans="1:21">
      <c r="A13" s="305" t="s">
        <v>47</v>
      </c>
      <c r="B13" s="190">
        <v>2369</v>
      </c>
      <c r="C13" s="190">
        <v>2800</v>
      </c>
      <c r="D13" s="310">
        <v>2553</v>
      </c>
      <c r="E13" s="306">
        <f t="shared" si="1"/>
        <v>91.1785714285714</v>
      </c>
      <c r="F13" s="307">
        <f t="shared" si="2"/>
        <v>184</v>
      </c>
      <c r="G13" s="306">
        <f t="shared" si="3"/>
        <v>7.76699029126214</v>
      </c>
      <c r="H13" s="308">
        <v>3000</v>
      </c>
      <c r="I13" s="307">
        <f t="shared" si="4"/>
        <v>447</v>
      </c>
      <c r="J13" s="306">
        <f t="shared" si="5"/>
        <v>17.5088131609871</v>
      </c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</row>
    <row r="14" ht="20" customHeight="1" spans="1:21">
      <c r="A14" s="305" t="s">
        <v>48</v>
      </c>
      <c r="B14" s="190">
        <v>7015</v>
      </c>
      <c r="C14" s="190">
        <v>6400</v>
      </c>
      <c r="D14" s="310">
        <v>6193</v>
      </c>
      <c r="E14" s="306">
        <f t="shared" si="1"/>
        <v>96.765625</v>
      </c>
      <c r="F14" s="307">
        <f t="shared" si="2"/>
        <v>-822</v>
      </c>
      <c r="G14" s="306">
        <f t="shared" si="3"/>
        <v>-11.7177476835353</v>
      </c>
      <c r="H14" s="308">
        <v>7000</v>
      </c>
      <c r="I14" s="307">
        <f t="shared" si="4"/>
        <v>807</v>
      </c>
      <c r="J14" s="306">
        <f t="shared" si="5"/>
        <v>13.0308412724043</v>
      </c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</row>
    <row r="15" ht="20" customHeight="1" spans="1:21">
      <c r="A15" s="305" t="s">
        <v>49</v>
      </c>
      <c r="B15" s="190">
        <v>1621</v>
      </c>
      <c r="C15" s="190">
        <v>1100</v>
      </c>
      <c r="D15" s="310">
        <v>1398</v>
      </c>
      <c r="E15" s="306">
        <f t="shared" si="1"/>
        <v>127.090909090909</v>
      </c>
      <c r="F15" s="307">
        <f t="shared" si="2"/>
        <v>-223</v>
      </c>
      <c r="G15" s="306">
        <f t="shared" si="3"/>
        <v>-13.7569401603948</v>
      </c>
      <c r="H15" s="308">
        <v>1500</v>
      </c>
      <c r="I15" s="307">
        <f t="shared" si="4"/>
        <v>102</v>
      </c>
      <c r="J15" s="306">
        <f t="shared" si="5"/>
        <v>7.29613733905579</v>
      </c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</row>
    <row r="16" ht="20" customHeight="1" spans="1:21">
      <c r="A16" s="305" t="s">
        <v>50</v>
      </c>
      <c r="B16" s="190">
        <v>1895</v>
      </c>
      <c r="C16" s="190">
        <v>1600</v>
      </c>
      <c r="D16" s="310">
        <v>1914</v>
      </c>
      <c r="E16" s="306">
        <f t="shared" si="1"/>
        <v>119.625</v>
      </c>
      <c r="F16" s="307">
        <f t="shared" si="2"/>
        <v>19</v>
      </c>
      <c r="G16" s="306">
        <f t="shared" si="3"/>
        <v>1.00263852242744</v>
      </c>
      <c r="H16" s="308">
        <v>2000</v>
      </c>
      <c r="I16" s="307">
        <f t="shared" si="4"/>
        <v>86</v>
      </c>
      <c r="J16" s="306">
        <f t="shared" si="5"/>
        <v>4.4932079414838</v>
      </c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</row>
    <row r="17" ht="20" customHeight="1" spans="1:21">
      <c r="A17" s="305" t="s">
        <v>51</v>
      </c>
      <c r="B17" s="190">
        <v>1132</v>
      </c>
      <c r="C17" s="190">
        <v>1530</v>
      </c>
      <c r="D17" s="310">
        <v>1471</v>
      </c>
      <c r="E17" s="306">
        <f t="shared" si="1"/>
        <v>96.1437908496732</v>
      </c>
      <c r="F17" s="307">
        <f t="shared" si="2"/>
        <v>339</v>
      </c>
      <c r="G17" s="306">
        <f t="shared" si="3"/>
        <v>29.9469964664311</v>
      </c>
      <c r="H17" s="308">
        <v>1300</v>
      </c>
      <c r="I17" s="307">
        <f t="shared" si="4"/>
        <v>-171</v>
      </c>
      <c r="J17" s="306">
        <f t="shared" si="5"/>
        <v>-11.62474507138</v>
      </c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</row>
    <row r="18" ht="20" customHeight="1" spans="1:21">
      <c r="A18" s="305" t="s">
        <v>52</v>
      </c>
      <c r="B18" s="190">
        <v>1274</v>
      </c>
      <c r="C18" s="190">
        <v>1200</v>
      </c>
      <c r="D18" s="310">
        <v>1338</v>
      </c>
      <c r="E18" s="306">
        <f t="shared" si="1"/>
        <v>111.5</v>
      </c>
      <c r="F18" s="307">
        <f t="shared" si="2"/>
        <v>64</v>
      </c>
      <c r="G18" s="306">
        <f t="shared" si="3"/>
        <v>5.02354788069074</v>
      </c>
      <c r="H18" s="308">
        <v>1300</v>
      </c>
      <c r="I18" s="307">
        <f t="shared" si="4"/>
        <v>-38</v>
      </c>
      <c r="J18" s="306">
        <f t="shared" si="5"/>
        <v>-2.84005979073244</v>
      </c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</row>
    <row r="19" ht="20" customHeight="1" spans="1:21">
      <c r="A19" s="305" t="s">
        <v>53</v>
      </c>
      <c r="B19" s="190">
        <v>1876</v>
      </c>
      <c r="C19" s="190">
        <v>2136</v>
      </c>
      <c r="D19" s="310">
        <v>313</v>
      </c>
      <c r="E19" s="306">
        <f t="shared" si="1"/>
        <v>14.6535580524345</v>
      </c>
      <c r="F19" s="307">
        <f t="shared" si="2"/>
        <v>-1563</v>
      </c>
      <c r="G19" s="306">
        <f t="shared" si="3"/>
        <v>-83.3155650319829</v>
      </c>
      <c r="H19" s="308">
        <v>350</v>
      </c>
      <c r="I19" s="307">
        <f t="shared" si="4"/>
        <v>37</v>
      </c>
      <c r="J19" s="306">
        <f t="shared" si="5"/>
        <v>11.8210862619808</v>
      </c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</row>
    <row r="20" ht="20" customHeight="1" spans="1:21">
      <c r="A20" s="305" t="s">
        <v>54</v>
      </c>
      <c r="B20" s="190">
        <v>2662</v>
      </c>
      <c r="C20" s="190">
        <v>3230</v>
      </c>
      <c r="D20" s="310">
        <v>2931</v>
      </c>
      <c r="E20" s="306">
        <f t="shared" si="1"/>
        <v>90.7430340557276</v>
      </c>
      <c r="F20" s="307">
        <f t="shared" si="2"/>
        <v>269</v>
      </c>
      <c r="G20" s="306">
        <f t="shared" si="3"/>
        <v>10.1051840721262</v>
      </c>
      <c r="H20" s="308">
        <v>3670</v>
      </c>
      <c r="I20" s="307">
        <f t="shared" si="4"/>
        <v>739</v>
      </c>
      <c r="J20" s="306">
        <f t="shared" si="5"/>
        <v>25.2132378027977</v>
      </c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</row>
    <row r="21" ht="20" customHeight="1" spans="1:21">
      <c r="A21" s="305" t="s">
        <v>55</v>
      </c>
      <c r="B21" s="190"/>
      <c r="C21" s="190"/>
      <c r="D21" s="190"/>
      <c r="E21" s="306"/>
      <c r="F21" s="307">
        <f t="shared" si="2"/>
        <v>0</v>
      </c>
      <c r="G21" s="306"/>
      <c r="H21" s="309"/>
      <c r="I21" s="307">
        <f t="shared" si="4"/>
        <v>0</v>
      </c>
      <c r="J21" s="306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</row>
    <row r="22" ht="20" customHeight="1" spans="1:21">
      <c r="A22" s="305" t="s">
        <v>56</v>
      </c>
      <c r="B22" s="190">
        <v>181</v>
      </c>
      <c r="C22" s="190">
        <v>182</v>
      </c>
      <c r="D22" s="310">
        <v>214</v>
      </c>
      <c r="E22" s="306">
        <f t="shared" si="1"/>
        <v>117.582417582418</v>
      </c>
      <c r="F22" s="307">
        <f t="shared" si="2"/>
        <v>33</v>
      </c>
      <c r="G22" s="306">
        <f t="shared" si="3"/>
        <v>18.232044198895</v>
      </c>
      <c r="H22" s="308">
        <v>245</v>
      </c>
      <c r="I22" s="307">
        <f t="shared" si="4"/>
        <v>31</v>
      </c>
      <c r="J22" s="306">
        <f t="shared" si="5"/>
        <v>14.4859813084112</v>
      </c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</row>
    <row r="23" ht="20" customHeight="1" spans="1:21">
      <c r="A23" s="305" t="s">
        <v>57</v>
      </c>
      <c r="B23" s="190"/>
      <c r="C23" s="190"/>
      <c r="D23" s="190">
        <v>15</v>
      </c>
      <c r="E23" s="306"/>
      <c r="F23" s="307">
        <f t="shared" si="2"/>
        <v>15</v>
      </c>
      <c r="G23" s="306"/>
      <c r="H23" s="309"/>
      <c r="I23" s="307">
        <f t="shared" si="4"/>
        <v>-15</v>
      </c>
      <c r="J23" s="306">
        <f t="shared" si="5"/>
        <v>-100</v>
      </c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</row>
    <row r="24" s="277" customFormat="1" ht="20" customHeight="1" spans="1:21">
      <c r="A24" s="299" t="s">
        <v>58</v>
      </c>
      <c r="B24" s="311">
        <f>B25+B37+B38+B39+B40+B41+B42</f>
        <v>15121</v>
      </c>
      <c r="C24" s="311">
        <f t="shared" ref="C24:H24" si="6">C25+C37+C38+C39+C40+C41+C42</f>
        <v>15761</v>
      </c>
      <c r="D24" s="311">
        <f t="shared" si="6"/>
        <v>16001</v>
      </c>
      <c r="E24" s="301">
        <f t="shared" si="1"/>
        <v>101.522746018654</v>
      </c>
      <c r="F24" s="302">
        <f t="shared" si="2"/>
        <v>880</v>
      </c>
      <c r="G24" s="301">
        <f t="shared" si="3"/>
        <v>5.81972091792871</v>
      </c>
      <c r="H24" s="312">
        <f t="shared" si="6"/>
        <v>15800</v>
      </c>
      <c r="I24" s="302">
        <f t="shared" si="4"/>
        <v>-201</v>
      </c>
      <c r="J24" s="301">
        <f t="shared" si="5"/>
        <v>-1.25617148928192</v>
      </c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</row>
    <row r="25" ht="20" customHeight="1" spans="1:21">
      <c r="A25" s="313" t="s">
        <v>59</v>
      </c>
      <c r="B25" s="190">
        <v>3051</v>
      </c>
      <c r="C25" s="307">
        <v>4000</v>
      </c>
      <c r="D25" s="190">
        <v>3282</v>
      </c>
      <c r="E25" s="306">
        <f t="shared" si="1"/>
        <v>82.05</v>
      </c>
      <c r="F25" s="307">
        <f t="shared" si="2"/>
        <v>231</v>
      </c>
      <c r="G25" s="306">
        <f t="shared" si="3"/>
        <v>7.57128810226155</v>
      </c>
      <c r="H25" s="314">
        <f>SUM(H26:H36)</f>
        <v>6700</v>
      </c>
      <c r="I25" s="307">
        <f t="shared" si="4"/>
        <v>3418</v>
      </c>
      <c r="J25" s="306">
        <f t="shared" si="5"/>
        <v>104.143814747105</v>
      </c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</row>
    <row r="26" ht="20" customHeight="1" spans="1:21">
      <c r="A26" s="315" t="s">
        <v>60</v>
      </c>
      <c r="B26" s="316"/>
      <c r="C26" s="316"/>
      <c r="D26" s="316"/>
      <c r="E26" s="306"/>
      <c r="F26" s="307">
        <f t="shared" si="2"/>
        <v>0</v>
      </c>
      <c r="G26" s="306"/>
      <c r="H26" s="317"/>
      <c r="I26" s="307">
        <f t="shared" si="4"/>
        <v>0</v>
      </c>
      <c r="J26" s="306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</row>
    <row r="27" ht="20" customHeight="1" spans="1:21">
      <c r="A27" s="315" t="s">
        <v>61</v>
      </c>
      <c r="B27" s="316"/>
      <c r="C27" s="316"/>
      <c r="D27" s="316"/>
      <c r="E27" s="306"/>
      <c r="F27" s="307">
        <f t="shared" si="2"/>
        <v>0</v>
      </c>
      <c r="G27" s="306"/>
      <c r="H27" s="317"/>
      <c r="I27" s="307">
        <f t="shared" si="4"/>
        <v>0</v>
      </c>
      <c r="J27" s="306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</row>
    <row r="28" ht="20" customHeight="1" spans="1:21">
      <c r="A28" s="315" t="s">
        <v>62</v>
      </c>
      <c r="B28" s="316">
        <v>1400</v>
      </c>
      <c r="C28" s="316">
        <v>1512.370504</v>
      </c>
      <c r="D28" s="316">
        <v>1498</v>
      </c>
      <c r="E28" s="306">
        <f t="shared" si="1"/>
        <v>99.0498026798333</v>
      </c>
      <c r="F28" s="307">
        <f t="shared" si="2"/>
        <v>98</v>
      </c>
      <c r="G28" s="306">
        <f t="shared" si="3"/>
        <v>7</v>
      </c>
      <c r="H28" s="318">
        <v>900</v>
      </c>
      <c r="I28" s="307">
        <f t="shared" si="4"/>
        <v>-598</v>
      </c>
      <c r="J28" s="306">
        <f t="shared" si="5"/>
        <v>-39.9198931909212</v>
      </c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</row>
    <row r="29" ht="20" customHeight="1" spans="1:21">
      <c r="A29" s="319" t="s">
        <v>63</v>
      </c>
      <c r="B29" s="316"/>
      <c r="C29" s="316"/>
      <c r="D29" s="316"/>
      <c r="E29" s="306"/>
      <c r="F29" s="307">
        <f t="shared" si="2"/>
        <v>0</v>
      </c>
      <c r="G29" s="306"/>
      <c r="H29" s="318">
        <v>4500</v>
      </c>
      <c r="I29" s="307">
        <f t="shared" si="4"/>
        <v>4500</v>
      </c>
      <c r="J29" s="306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</row>
    <row r="30" ht="20" customHeight="1" spans="1:21">
      <c r="A30" s="319" t="s">
        <v>64</v>
      </c>
      <c r="B30" s="316">
        <v>933</v>
      </c>
      <c r="C30" s="316">
        <v>1008.70008</v>
      </c>
      <c r="D30" s="316">
        <v>999</v>
      </c>
      <c r="E30" s="306">
        <f t="shared" si="1"/>
        <v>99.0383583592062</v>
      </c>
      <c r="F30" s="307">
        <f t="shared" si="2"/>
        <v>66</v>
      </c>
      <c r="G30" s="306">
        <f t="shared" si="3"/>
        <v>7.07395498392283</v>
      </c>
      <c r="H30" s="318">
        <v>600</v>
      </c>
      <c r="I30" s="307">
        <f t="shared" si="4"/>
        <v>-399</v>
      </c>
      <c r="J30" s="306">
        <f t="shared" si="5"/>
        <v>-39.9399399399399</v>
      </c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</row>
    <row r="31" ht="20" customHeight="1" spans="1:21">
      <c r="A31" s="319" t="s">
        <v>65</v>
      </c>
      <c r="B31" s="316">
        <v>718</v>
      </c>
      <c r="C31" s="316">
        <v>781.877702</v>
      </c>
      <c r="D31" s="316">
        <v>785</v>
      </c>
      <c r="E31" s="306">
        <f t="shared" si="1"/>
        <v>100.399333296245</v>
      </c>
      <c r="F31" s="307">
        <f t="shared" si="2"/>
        <v>67</v>
      </c>
      <c r="G31" s="306">
        <f t="shared" si="3"/>
        <v>9.33147632311978</v>
      </c>
      <c r="H31" s="318">
        <v>700</v>
      </c>
      <c r="I31" s="307">
        <f t="shared" si="4"/>
        <v>-85</v>
      </c>
      <c r="J31" s="306">
        <f t="shared" si="5"/>
        <v>-10.828025477707</v>
      </c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</row>
    <row r="32" ht="20" customHeight="1" spans="1:21">
      <c r="A32" s="315" t="s">
        <v>66</v>
      </c>
      <c r="B32" s="316"/>
      <c r="C32" s="316"/>
      <c r="D32" s="316"/>
      <c r="E32" s="306"/>
      <c r="F32" s="307">
        <f t="shared" si="2"/>
        <v>0</v>
      </c>
      <c r="G32" s="306"/>
      <c r="H32" s="317"/>
      <c r="I32" s="307">
        <f t="shared" si="4"/>
        <v>0</v>
      </c>
      <c r="J32" s="306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</row>
    <row r="33" ht="20" customHeight="1" spans="1:21">
      <c r="A33" s="315" t="s">
        <v>67</v>
      </c>
      <c r="B33" s="316"/>
      <c r="C33" s="316"/>
      <c r="D33" s="316"/>
      <c r="E33" s="306"/>
      <c r="F33" s="307">
        <f t="shared" si="2"/>
        <v>0</v>
      </c>
      <c r="G33" s="306"/>
      <c r="H33" s="317"/>
      <c r="I33" s="307">
        <f t="shared" si="4"/>
        <v>0</v>
      </c>
      <c r="J33" s="306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</row>
    <row r="34" ht="20" customHeight="1" spans="1:21">
      <c r="A34" s="315" t="s">
        <v>68</v>
      </c>
      <c r="B34" s="316"/>
      <c r="C34" s="316"/>
      <c r="D34" s="316"/>
      <c r="E34" s="306"/>
      <c r="F34" s="307">
        <f t="shared" si="2"/>
        <v>0</v>
      </c>
      <c r="G34" s="306"/>
      <c r="H34" s="317"/>
      <c r="I34" s="307">
        <f t="shared" si="4"/>
        <v>0</v>
      </c>
      <c r="J34" s="306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</row>
    <row r="35" ht="20" customHeight="1" spans="1:21">
      <c r="A35" s="315" t="s">
        <v>69</v>
      </c>
      <c r="B35" s="316"/>
      <c r="C35" s="316">
        <v>697.247</v>
      </c>
      <c r="D35" s="316"/>
      <c r="E35" s="306">
        <f t="shared" si="1"/>
        <v>0</v>
      </c>
      <c r="F35" s="307">
        <f t="shared" si="2"/>
        <v>0</v>
      </c>
      <c r="G35" s="306"/>
      <c r="H35" s="317"/>
      <c r="I35" s="307">
        <f t="shared" si="4"/>
        <v>0</v>
      </c>
      <c r="J35" s="306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</row>
    <row r="36" ht="20" customHeight="1" spans="1:21">
      <c r="A36" s="315" t="s">
        <v>70</v>
      </c>
      <c r="B36" s="316"/>
      <c r="C36" s="316"/>
      <c r="D36" s="316"/>
      <c r="E36" s="306"/>
      <c r="F36" s="307">
        <f t="shared" si="2"/>
        <v>0</v>
      </c>
      <c r="G36" s="306"/>
      <c r="H36" s="317"/>
      <c r="I36" s="307">
        <f t="shared" si="4"/>
        <v>0</v>
      </c>
      <c r="J36" s="306"/>
      <c r="K36" s="320"/>
      <c r="L36" s="287"/>
      <c r="M36" s="287"/>
      <c r="N36" s="287"/>
      <c r="O36" s="287"/>
      <c r="P36" s="287"/>
      <c r="Q36" s="287"/>
      <c r="R36" s="287"/>
      <c r="S36" s="287"/>
      <c r="T36" s="287"/>
      <c r="U36" s="287"/>
    </row>
    <row r="37" ht="20" customHeight="1" spans="1:21">
      <c r="A37" s="315" t="s">
        <v>71</v>
      </c>
      <c r="B37" s="190">
        <v>2900</v>
      </c>
      <c r="C37" s="190">
        <v>3400</v>
      </c>
      <c r="D37" s="190">
        <v>2835</v>
      </c>
      <c r="E37" s="306">
        <f t="shared" si="1"/>
        <v>83.3823529411765</v>
      </c>
      <c r="F37" s="307">
        <f t="shared" si="2"/>
        <v>-65</v>
      </c>
      <c r="G37" s="306">
        <f t="shared" si="3"/>
        <v>-2.24137931034483</v>
      </c>
      <c r="H37" s="308">
        <v>3200</v>
      </c>
      <c r="I37" s="307">
        <f t="shared" si="4"/>
        <v>365</v>
      </c>
      <c r="J37" s="306">
        <f t="shared" si="5"/>
        <v>12.8747795414462</v>
      </c>
      <c r="K37" s="320"/>
      <c r="L37" s="287"/>
      <c r="M37" s="287"/>
      <c r="N37" s="287"/>
      <c r="O37" s="287"/>
      <c r="P37" s="287"/>
      <c r="Q37" s="287"/>
      <c r="R37" s="287"/>
      <c r="S37" s="287"/>
      <c r="T37" s="287"/>
      <c r="U37" s="287"/>
    </row>
    <row r="38" ht="20" customHeight="1" spans="1:21">
      <c r="A38" s="315" t="s">
        <v>72</v>
      </c>
      <c r="B38" s="190">
        <v>3003</v>
      </c>
      <c r="C38" s="190">
        <v>3600</v>
      </c>
      <c r="D38" s="190">
        <v>4080</v>
      </c>
      <c r="E38" s="306">
        <f t="shared" si="1"/>
        <v>113.333333333333</v>
      </c>
      <c r="F38" s="307">
        <f t="shared" si="2"/>
        <v>1077</v>
      </c>
      <c r="G38" s="306">
        <f t="shared" si="3"/>
        <v>35.8641358641359</v>
      </c>
      <c r="H38" s="308">
        <v>2200</v>
      </c>
      <c r="I38" s="307">
        <f t="shared" si="4"/>
        <v>-1880</v>
      </c>
      <c r="J38" s="306">
        <f t="shared" si="5"/>
        <v>-46.078431372549</v>
      </c>
      <c r="K38" s="320"/>
      <c r="L38" s="287"/>
      <c r="M38" s="287"/>
      <c r="N38" s="287"/>
      <c r="O38" s="287"/>
      <c r="P38" s="287"/>
      <c r="Q38" s="287"/>
      <c r="R38" s="287"/>
      <c r="S38" s="287"/>
      <c r="T38" s="287"/>
      <c r="U38" s="287"/>
    </row>
    <row r="39" ht="20" customHeight="1" spans="1:21">
      <c r="A39" s="315" t="s">
        <v>73</v>
      </c>
      <c r="B39" s="190">
        <v>5923</v>
      </c>
      <c r="C39" s="190">
        <v>4261</v>
      </c>
      <c r="D39" s="190"/>
      <c r="E39" s="306">
        <f t="shared" ref="E39:E74" si="7">D39/C39*100</f>
        <v>0</v>
      </c>
      <c r="F39" s="307">
        <f t="shared" ref="F39:F70" si="8">D39-B39</f>
        <v>-5923</v>
      </c>
      <c r="G39" s="306">
        <f t="shared" ref="G39:G70" si="9">F39/B39*100</f>
        <v>-100</v>
      </c>
      <c r="H39" s="309"/>
      <c r="I39" s="307">
        <f t="shared" ref="I39:I70" si="10">H39-D39</f>
        <v>0</v>
      </c>
      <c r="J39" s="306"/>
      <c r="K39" s="320"/>
      <c r="L39" s="287"/>
      <c r="M39" s="287"/>
      <c r="N39" s="287"/>
      <c r="O39" s="287"/>
      <c r="P39" s="287"/>
      <c r="Q39" s="287"/>
      <c r="R39" s="287"/>
      <c r="S39" s="287"/>
      <c r="T39" s="287"/>
      <c r="U39" s="287"/>
    </row>
    <row r="40" ht="20" customHeight="1" spans="1:21">
      <c r="A40" s="305" t="s">
        <v>74</v>
      </c>
      <c r="B40" s="190"/>
      <c r="C40" s="190"/>
      <c r="D40" s="190"/>
      <c r="E40" s="306"/>
      <c r="F40" s="307">
        <f t="shared" si="8"/>
        <v>0</v>
      </c>
      <c r="G40" s="306"/>
      <c r="H40" s="308">
        <v>3700</v>
      </c>
      <c r="I40" s="307">
        <f t="shared" si="10"/>
        <v>3700</v>
      </c>
      <c r="J40" s="306"/>
      <c r="K40" s="320"/>
      <c r="L40" s="287"/>
      <c r="M40" s="287"/>
      <c r="N40" s="287"/>
      <c r="O40" s="287"/>
      <c r="P40" s="287"/>
      <c r="Q40" s="287"/>
      <c r="R40" s="287"/>
      <c r="S40" s="287"/>
      <c r="T40" s="287"/>
      <c r="U40" s="287"/>
    </row>
    <row r="41" ht="20" customHeight="1" spans="1:21">
      <c r="A41" s="305" t="s">
        <v>75</v>
      </c>
      <c r="B41" s="190">
        <v>244</v>
      </c>
      <c r="C41" s="190">
        <v>500</v>
      </c>
      <c r="D41" s="190">
        <v>5750</v>
      </c>
      <c r="E41" s="306">
        <f t="shared" si="7"/>
        <v>1150</v>
      </c>
      <c r="F41" s="307">
        <f t="shared" si="8"/>
        <v>5506</v>
      </c>
      <c r="G41" s="306">
        <f t="shared" si="9"/>
        <v>2256.55737704918</v>
      </c>
      <c r="H41" s="309"/>
      <c r="I41" s="307">
        <f t="shared" si="10"/>
        <v>-5750</v>
      </c>
      <c r="J41" s="306">
        <f t="shared" ref="J39:J70" si="11">I41/D41*100</f>
        <v>-100</v>
      </c>
      <c r="K41" s="320"/>
      <c r="L41" s="287"/>
      <c r="M41" s="287"/>
      <c r="N41" s="287"/>
      <c r="O41" s="287"/>
      <c r="P41" s="287"/>
      <c r="Q41" s="287"/>
      <c r="R41" s="287"/>
      <c r="S41" s="287"/>
      <c r="T41" s="287"/>
      <c r="U41" s="287"/>
    </row>
    <row r="42" ht="20" customHeight="1" spans="1:21">
      <c r="A42" s="315" t="s">
        <v>76</v>
      </c>
      <c r="B42" s="190"/>
      <c r="C42" s="316"/>
      <c r="D42" s="190">
        <v>54</v>
      </c>
      <c r="E42" s="306"/>
      <c r="F42" s="307">
        <f t="shared" si="8"/>
        <v>54</v>
      </c>
      <c r="G42" s="306"/>
      <c r="H42" s="317"/>
      <c r="I42" s="307">
        <f t="shared" si="10"/>
        <v>-54</v>
      </c>
      <c r="J42" s="306">
        <f t="shared" si="11"/>
        <v>-100</v>
      </c>
      <c r="K42" s="320"/>
      <c r="L42" s="287"/>
      <c r="M42" s="287"/>
      <c r="N42" s="287"/>
      <c r="O42" s="287"/>
      <c r="P42" s="287"/>
      <c r="Q42" s="287"/>
      <c r="R42" s="287"/>
      <c r="S42" s="287"/>
      <c r="T42" s="287"/>
      <c r="U42" s="287"/>
    </row>
    <row r="43" s="277" customFormat="1" ht="20" customHeight="1" spans="1:21">
      <c r="A43" s="321" t="s">
        <v>77</v>
      </c>
      <c r="B43" s="311">
        <f>B6+B24</f>
        <v>58841</v>
      </c>
      <c r="C43" s="311">
        <f t="shared" ref="C43:H43" si="12">C6+C24</f>
        <v>61577</v>
      </c>
      <c r="D43" s="311">
        <f t="shared" si="12"/>
        <v>59719</v>
      </c>
      <c r="E43" s="301">
        <f t="shared" si="7"/>
        <v>96.9826396219368</v>
      </c>
      <c r="F43" s="302">
        <f t="shared" si="8"/>
        <v>878</v>
      </c>
      <c r="G43" s="301">
        <f t="shared" si="9"/>
        <v>1.49215682942166</v>
      </c>
      <c r="H43" s="312">
        <f t="shared" si="12"/>
        <v>62990</v>
      </c>
      <c r="I43" s="302">
        <f t="shared" si="10"/>
        <v>3271</v>
      </c>
      <c r="J43" s="301">
        <f t="shared" si="11"/>
        <v>5.47731877626886</v>
      </c>
      <c r="K43" s="322"/>
      <c r="L43" s="304"/>
      <c r="M43" s="304"/>
      <c r="N43" s="304"/>
      <c r="O43" s="304"/>
      <c r="P43" s="304"/>
      <c r="Q43" s="304"/>
      <c r="R43" s="304"/>
      <c r="S43" s="304"/>
      <c r="T43" s="304"/>
      <c r="U43" s="304"/>
    </row>
    <row r="44" s="277" customFormat="1" ht="20" customHeight="1" spans="1:21">
      <c r="A44" s="323" t="s">
        <v>78</v>
      </c>
      <c r="B44" s="311">
        <f>B45+B106+B107+B112+B111</f>
        <v>249225.458385</v>
      </c>
      <c r="C44" s="311">
        <f>C45+C106+C107+C111+C112</f>
        <v>178173.104</v>
      </c>
      <c r="D44" s="311">
        <f>D45+D106+D107+D112+D111</f>
        <v>265256.44</v>
      </c>
      <c r="E44" s="301">
        <f t="shared" si="7"/>
        <v>148.875691136862</v>
      </c>
      <c r="F44" s="302">
        <f t="shared" si="8"/>
        <v>16030.981615</v>
      </c>
      <c r="G44" s="301">
        <f t="shared" si="9"/>
        <v>6.4323210473288</v>
      </c>
      <c r="H44" s="311">
        <f>H45+H106+H107+H111+H112</f>
        <v>210138.43</v>
      </c>
      <c r="I44" s="302">
        <f t="shared" si="10"/>
        <v>-55118.01</v>
      </c>
      <c r="J44" s="301">
        <f t="shared" si="11"/>
        <v>-20.779141120947</v>
      </c>
      <c r="K44" s="322"/>
      <c r="L44" s="304"/>
      <c r="M44" s="304"/>
      <c r="N44" s="304"/>
      <c r="O44" s="304"/>
      <c r="P44" s="304"/>
      <c r="Q44" s="304"/>
      <c r="R44" s="304"/>
      <c r="S44" s="304"/>
      <c r="T44" s="304"/>
      <c r="U44" s="304"/>
    </row>
    <row r="45" s="278" customFormat="1" ht="20" customHeight="1" spans="1:21">
      <c r="A45" s="324" t="s">
        <v>79</v>
      </c>
      <c r="B45" s="325">
        <f>B46+B51+B84</f>
        <v>186555.458385</v>
      </c>
      <c r="C45" s="325">
        <f>C46+C51+C84</f>
        <v>151350.104</v>
      </c>
      <c r="D45" s="325">
        <f>D46+D51+D84</f>
        <v>225518.44</v>
      </c>
      <c r="E45" s="306">
        <f t="shared" si="7"/>
        <v>149.004483009804</v>
      </c>
      <c r="F45" s="307">
        <f t="shared" si="8"/>
        <v>38962.981615</v>
      </c>
      <c r="G45" s="306">
        <f t="shared" si="9"/>
        <v>20.8854685637721</v>
      </c>
      <c r="H45" s="325">
        <f>H46+H51+H84</f>
        <v>183550.43</v>
      </c>
      <c r="I45" s="307">
        <f t="shared" si="10"/>
        <v>-41968.01</v>
      </c>
      <c r="J45" s="306">
        <f t="shared" si="11"/>
        <v>-18.6095691332381</v>
      </c>
      <c r="K45" s="320"/>
      <c r="L45" s="287"/>
      <c r="M45" s="287"/>
      <c r="N45" s="287"/>
      <c r="O45" s="287"/>
      <c r="P45" s="287"/>
      <c r="Q45" s="287"/>
      <c r="R45" s="287"/>
      <c r="S45" s="287"/>
      <c r="T45" s="287"/>
      <c r="U45" s="287"/>
    </row>
    <row r="46" s="278" customFormat="1" ht="20" customHeight="1" spans="1:21">
      <c r="A46" s="324" t="s">
        <v>80</v>
      </c>
      <c r="B46" s="325">
        <v>10056</v>
      </c>
      <c r="C46" s="325">
        <f>SUM(C47:C50)</f>
        <v>10056</v>
      </c>
      <c r="D46" s="325">
        <v>10056</v>
      </c>
      <c r="E46" s="306">
        <f t="shared" si="7"/>
        <v>100</v>
      </c>
      <c r="F46" s="307">
        <f t="shared" si="8"/>
        <v>0</v>
      </c>
      <c r="G46" s="306">
        <f t="shared" si="9"/>
        <v>0</v>
      </c>
      <c r="H46" s="325">
        <f>SUM(H47:H50)</f>
        <v>10056</v>
      </c>
      <c r="I46" s="307">
        <f t="shared" si="10"/>
        <v>0</v>
      </c>
      <c r="J46" s="306">
        <f t="shared" si="11"/>
        <v>0</v>
      </c>
      <c r="K46" s="320"/>
      <c r="L46" s="287"/>
      <c r="M46" s="287"/>
      <c r="N46" s="287"/>
      <c r="O46" s="287"/>
      <c r="P46" s="287"/>
      <c r="Q46" s="287"/>
      <c r="R46" s="287"/>
      <c r="S46" s="287"/>
      <c r="T46" s="287"/>
      <c r="U46" s="287"/>
    </row>
    <row r="47" ht="20" customHeight="1" spans="1:21">
      <c r="A47" s="326" t="s">
        <v>81</v>
      </c>
      <c r="B47" s="327">
        <v>942</v>
      </c>
      <c r="C47" s="327">
        <v>942</v>
      </c>
      <c r="D47" s="328">
        <v>942</v>
      </c>
      <c r="E47" s="306">
        <f t="shared" si="7"/>
        <v>100</v>
      </c>
      <c r="F47" s="307">
        <f t="shared" si="8"/>
        <v>0</v>
      </c>
      <c r="G47" s="306">
        <f t="shared" si="9"/>
        <v>0</v>
      </c>
      <c r="H47" s="327">
        <v>942</v>
      </c>
      <c r="I47" s="307">
        <f t="shared" si="10"/>
        <v>0</v>
      </c>
      <c r="J47" s="306">
        <f t="shared" si="11"/>
        <v>0</v>
      </c>
      <c r="K47" s="320"/>
      <c r="L47" s="287"/>
      <c r="M47" s="287"/>
      <c r="N47" s="287"/>
      <c r="O47" s="287"/>
      <c r="P47" s="287"/>
      <c r="Q47" s="287"/>
      <c r="R47" s="287"/>
      <c r="S47" s="287"/>
      <c r="T47" s="287"/>
      <c r="U47" s="287"/>
    </row>
    <row r="48" ht="20" customHeight="1" spans="1:21">
      <c r="A48" s="313" t="s">
        <v>82</v>
      </c>
      <c r="B48" s="327">
        <v>778</v>
      </c>
      <c r="C48" s="307">
        <v>778</v>
      </c>
      <c r="D48" s="328">
        <v>778</v>
      </c>
      <c r="E48" s="306">
        <f t="shared" si="7"/>
        <v>100</v>
      </c>
      <c r="F48" s="307">
        <f t="shared" si="8"/>
        <v>0</v>
      </c>
      <c r="G48" s="306">
        <f t="shared" si="9"/>
        <v>0</v>
      </c>
      <c r="H48" s="307">
        <v>778</v>
      </c>
      <c r="I48" s="307">
        <f t="shared" si="10"/>
        <v>0</v>
      </c>
      <c r="J48" s="306">
        <f t="shared" si="11"/>
        <v>0</v>
      </c>
      <c r="K48" s="320"/>
      <c r="L48" s="287"/>
      <c r="M48" s="287"/>
      <c r="N48" s="287"/>
      <c r="O48" s="287"/>
      <c r="P48" s="287"/>
      <c r="Q48" s="287"/>
      <c r="R48" s="287"/>
      <c r="S48" s="287"/>
      <c r="T48" s="287"/>
      <c r="U48" s="287"/>
    </row>
    <row r="49" ht="20" customHeight="1" spans="1:21">
      <c r="A49" s="313" t="s">
        <v>83</v>
      </c>
      <c r="B49" s="307">
        <v>5895</v>
      </c>
      <c r="C49" s="307">
        <v>5895</v>
      </c>
      <c r="D49" s="314">
        <v>5895</v>
      </c>
      <c r="E49" s="306">
        <f t="shared" si="7"/>
        <v>100</v>
      </c>
      <c r="F49" s="307">
        <f t="shared" si="8"/>
        <v>0</v>
      </c>
      <c r="G49" s="306">
        <f t="shared" si="9"/>
        <v>0</v>
      </c>
      <c r="H49" s="307">
        <v>5895</v>
      </c>
      <c r="I49" s="307">
        <f t="shared" si="10"/>
        <v>0</v>
      </c>
      <c r="J49" s="306">
        <f t="shared" si="11"/>
        <v>0</v>
      </c>
      <c r="K49" s="320"/>
      <c r="L49" s="287"/>
      <c r="M49" s="287"/>
      <c r="N49" s="287"/>
      <c r="O49" s="287"/>
      <c r="P49" s="287"/>
      <c r="Q49" s="287"/>
      <c r="R49" s="287"/>
      <c r="S49" s="287"/>
      <c r="T49" s="287"/>
      <c r="U49" s="287"/>
    </row>
    <row r="50" ht="20" customHeight="1" spans="1:21">
      <c r="A50" s="313" t="s">
        <v>84</v>
      </c>
      <c r="B50" s="307">
        <v>2441</v>
      </c>
      <c r="C50" s="307">
        <v>2441</v>
      </c>
      <c r="D50" s="314">
        <v>2441</v>
      </c>
      <c r="E50" s="306">
        <f t="shared" si="7"/>
        <v>100</v>
      </c>
      <c r="F50" s="307">
        <f t="shared" si="8"/>
        <v>0</v>
      </c>
      <c r="G50" s="306">
        <f t="shared" si="9"/>
        <v>0</v>
      </c>
      <c r="H50" s="307">
        <v>2441</v>
      </c>
      <c r="I50" s="307">
        <f t="shared" si="10"/>
        <v>0</v>
      </c>
      <c r="J50" s="306">
        <f t="shared" si="11"/>
        <v>0</v>
      </c>
      <c r="K50" s="320"/>
      <c r="L50" s="287"/>
      <c r="M50" s="287"/>
      <c r="N50" s="287"/>
      <c r="O50" s="287"/>
      <c r="P50" s="287"/>
      <c r="Q50" s="287"/>
      <c r="R50" s="287"/>
      <c r="S50" s="287"/>
      <c r="T50" s="287"/>
      <c r="U50" s="287"/>
    </row>
    <row r="51" s="278" customFormat="1" ht="20" customHeight="1" spans="1:21">
      <c r="A51" s="329" t="s">
        <v>85</v>
      </c>
      <c r="B51" s="325">
        <f>SUM(B52:B83)</f>
        <v>159560.30029</v>
      </c>
      <c r="C51" s="325">
        <f>SUM(C52:C83)</f>
        <v>134236.194</v>
      </c>
      <c r="D51" s="325">
        <f>SUM(D52:D83)</f>
        <v>186182.44</v>
      </c>
      <c r="E51" s="306">
        <f t="shared" si="7"/>
        <v>138.697645137346</v>
      </c>
      <c r="F51" s="307">
        <f t="shared" si="8"/>
        <v>26622.13971</v>
      </c>
      <c r="G51" s="306">
        <f t="shared" si="9"/>
        <v>16.6846888991901</v>
      </c>
      <c r="H51" s="325">
        <f>SUM(H52:H83)</f>
        <v>167527</v>
      </c>
      <c r="I51" s="307">
        <f t="shared" si="10"/>
        <v>-18655.44</v>
      </c>
      <c r="J51" s="306">
        <f t="shared" si="11"/>
        <v>-10.0199782535883</v>
      </c>
      <c r="K51" s="330"/>
      <c r="L51" s="287"/>
      <c r="M51" s="287"/>
      <c r="N51" s="287"/>
      <c r="O51" s="287"/>
      <c r="P51" s="287"/>
      <c r="Q51" s="287"/>
      <c r="R51" s="287"/>
      <c r="S51" s="287"/>
      <c r="T51" s="287"/>
      <c r="U51" s="287"/>
    </row>
    <row r="52" ht="20" customHeight="1" spans="1:21">
      <c r="A52" s="326" t="s">
        <v>86</v>
      </c>
      <c r="B52" s="327">
        <v>1094.44</v>
      </c>
      <c r="C52" s="307">
        <v>1094</v>
      </c>
      <c r="D52" s="328">
        <v>1094.44</v>
      </c>
      <c r="E52" s="306">
        <f t="shared" si="7"/>
        <v>100.040219378428</v>
      </c>
      <c r="F52" s="307">
        <f t="shared" si="8"/>
        <v>0</v>
      </c>
      <c r="G52" s="306">
        <f t="shared" si="9"/>
        <v>0</v>
      </c>
      <c r="H52" s="307">
        <v>1094</v>
      </c>
      <c r="I52" s="307">
        <f t="shared" si="10"/>
        <v>-0.440000000000055</v>
      </c>
      <c r="J52" s="306">
        <f t="shared" si="11"/>
        <v>-0.0402032089470464</v>
      </c>
      <c r="K52" s="330"/>
      <c r="L52" s="287"/>
      <c r="M52" s="287"/>
      <c r="N52" s="287"/>
      <c r="O52" s="287"/>
      <c r="P52" s="287"/>
      <c r="Q52" s="287"/>
      <c r="R52" s="287"/>
      <c r="S52" s="287"/>
      <c r="T52" s="287"/>
      <c r="U52" s="287"/>
    </row>
    <row r="53" ht="20" customHeight="1" spans="1:21">
      <c r="A53" s="326" t="s">
        <v>87</v>
      </c>
      <c r="B53" s="327">
        <v>29058</v>
      </c>
      <c r="C53" s="307">
        <v>29058</v>
      </c>
      <c r="D53" s="328">
        <v>39402</v>
      </c>
      <c r="E53" s="306">
        <f t="shared" si="7"/>
        <v>135.597769977287</v>
      </c>
      <c r="F53" s="307">
        <f t="shared" si="8"/>
        <v>10344</v>
      </c>
      <c r="G53" s="306">
        <f t="shared" si="9"/>
        <v>35.5977699772868</v>
      </c>
      <c r="H53" s="307">
        <v>39402</v>
      </c>
      <c r="I53" s="307">
        <f t="shared" si="10"/>
        <v>0</v>
      </c>
      <c r="J53" s="306">
        <f t="shared" si="11"/>
        <v>0</v>
      </c>
      <c r="K53" s="330"/>
      <c r="L53" s="287"/>
      <c r="M53" s="287"/>
      <c r="N53" s="287"/>
      <c r="O53" s="287"/>
      <c r="P53" s="287"/>
      <c r="Q53" s="287"/>
      <c r="R53" s="287"/>
      <c r="S53" s="287"/>
      <c r="T53" s="287"/>
      <c r="U53" s="287"/>
    </row>
    <row r="54" ht="20" customHeight="1" spans="1:21">
      <c r="A54" s="326" t="s">
        <v>88</v>
      </c>
      <c r="B54" s="331">
        <v>13256</v>
      </c>
      <c r="C54" s="307">
        <v>13256</v>
      </c>
      <c r="D54" s="332">
        <v>20054</v>
      </c>
      <c r="E54" s="306">
        <f t="shared" si="7"/>
        <v>151.282438141219</v>
      </c>
      <c r="F54" s="307">
        <f t="shared" si="8"/>
        <v>6798</v>
      </c>
      <c r="G54" s="306">
        <f t="shared" si="9"/>
        <v>51.2824381412191</v>
      </c>
      <c r="H54" s="307">
        <v>20054</v>
      </c>
      <c r="I54" s="307">
        <f t="shared" si="10"/>
        <v>0</v>
      </c>
      <c r="J54" s="306">
        <f t="shared" si="11"/>
        <v>0</v>
      </c>
      <c r="K54" s="330"/>
      <c r="L54" s="287"/>
      <c r="M54" s="287"/>
      <c r="N54" s="287"/>
      <c r="O54" s="287"/>
      <c r="P54" s="287"/>
      <c r="Q54" s="287"/>
      <c r="R54" s="287"/>
      <c r="S54" s="287"/>
      <c r="T54" s="287"/>
      <c r="U54" s="287"/>
    </row>
    <row r="55" ht="20" customHeight="1" spans="1:21">
      <c r="A55" s="326" t="s">
        <v>89</v>
      </c>
      <c r="B55" s="327">
        <v>11886.222705</v>
      </c>
      <c r="C55" s="307">
        <v>10662.55</v>
      </c>
      <c r="D55" s="328">
        <v>10391</v>
      </c>
      <c r="E55" s="306">
        <f t="shared" si="7"/>
        <v>97.453235858214</v>
      </c>
      <c r="F55" s="307">
        <f t="shared" si="8"/>
        <v>-1495.222705</v>
      </c>
      <c r="G55" s="306">
        <f t="shared" si="9"/>
        <v>-12.5794606252079</v>
      </c>
      <c r="H55" s="307">
        <v>10391</v>
      </c>
      <c r="I55" s="307">
        <f t="shared" si="10"/>
        <v>0</v>
      </c>
      <c r="J55" s="306">
        <f t="shared" si="11"/>
        <v>0</v>
      </c>
      <c r="K55" s="330"/>
      <c r="L55" s="287"/>
      <c r="M55" s="287"/>
      <c r="N55" s="287"/>
      <c r="O55" s="287"/>
      <c r="P55" s="287"/>
      <c r="Q55" s="287"/>
      <c r="R55" s="287"/>
      <c r="S55" s="287"/>
      <c r="T55" s="287"/>
      <c r="U55" s="287"/>
    </row>
    <row r="56" ht="20" customHeight="1" spans="1:21">
      <c r="A56" s="326" t="s">
        <v>90</v>
      </c>
      <c r="B56" s="282"/>
      <c r="C56" s="307"/>
      <c r="D56" s="282"/>
      <c r="E56" s="306"/>
      <c r="F56" s="307">
        <f t="shared" si="8"/>
        <v>0</v>
      </c>
      <c r="G56" s="306"/>
      <c r="H56" s="307"/>
      <c r="I56" s="307">
        <f t="shared" si="10"/>
        <v>0</v>
      </c>
      <c r="J56" s="306"/>
      <c r="K56" s="330"/>
      <c r="L56" s="287"/>
      <c r="M56" s="287"/>
      <c r="N56" s="287"/>
      <c r="O56" s="287"/>
      <c r="P56" s="287"/>
      <c r="Q56" s="287"/>
      <c r="R56" s="287"/>
      <c r="S56" s="287"/>
      <c r="T56" s="287"/>
      <c r="U56" s="287"/>
    </row>
    <row r="57" ht="20" customHeight="1" spans="1:21">
      <c r="A57" s="326" t="s">
        <v>91</v>
      </c>
      <c r="B57" s="307"/>
      <c r="C57" s="307"/>
      <c r="D57" s="307"/>
      <c r="E57" s="306"/>
      <c r="F57" s="307">
        <f t="shared" si="8"/>
        <v>0</v>
      </c>
      <c r="G57" s="306"/>
      <c r="H57" s="307"/>
      <c r="I57" s="307">
        <f t="shared" si="10"/>
        <v>0</v>
      </c>
      <c r="J57" s="306"/>
      <c r="K57" s="330"/>
      <c r="L57" s="287"/>
      <c r="M57" s="287"/>
      <c r="N57" s="287"/>
      <c r="O57" s="287"/>
      <c r="P57" s="287"/>
      <c r="Q57" s="287"/>
      <c r="R57" s="287"/>
      <c r="S57" s="287"/>
      <c r="T57" s="287"/>
      <c r="U57" s="287"/>
    </row>
    <row r="58" ht="20" customHeight="1" spans="1:21">
      <c r="A58" s="326" t="s">
        <v>92</v>
      </c>
      <c r="B58" s="307">
        <v>724</v>
      </c>
      <c r="C58" s="307">
        <v>724</v>
      </c>
      <c r="D58" s="314">
        <v>499</v>
      </c>
      <c r="E58" s="306">
        <f t="shared" si="7"/>
        <v>68.9226519337017</v>
      </c>
      <c r="F58" s="307">
        <f t="shared" si="8"/>
        <v>-225</v>
      </c>
      <c r="G58" s="306">
        <f t="shared" si="9"/>
        <v>-31.0773480662983</v>
      </c>
      <c r="H58" s="307">
        <v>449</v>
      </c>
      <c r="I58" s="307">
        <f t="shared" si="10"/>
        <v>-50</v>
      </c>
      <c r="J58" s="306">
        <f t="shared" si="11"/>
        <v>-10.0200400801603</v>
      </c>
      <c r="K58" s="330"/>
      <c r="L58" s="287"/>
      <c r="M58" s="287"/>
      <c r="N58" s="287"/>
      <c r="O58" s="287"/>
      <c r="P58" s="287"/>
      <c r="Q58" s="287"/>
      <c r="R58" s="287"/>
      <c r="S58" s="287"/>
      <c r="T58" s="287"/>
      <c r="U58" s="287"/>
    </row>
    <row r="59" ht="20" customHeight="1" spans="1:21">
      <c r="A59" s="326" t="s">
        <v>93</v>
      </c>
      <c r="B59" s="307">
        <v>180</v>
      </c>
      <c r="C59" s="307">
        <v>186</v>
      </c>
      <c r="D59" s="314">
        <v>200</v>
      </c>
      <c r="E59" s="306">
        <f t="shared" si="7"/>
        <v>107.52688172043</v>
      </c>
      <c r="F59" s="307">
        <f t="shared" si="8"/>
        <v>20</v>
      </c>
      <c r="G59" s="306">
        <f t="shared" si="9"/>
        <v>11.1111111111111</v>
      </c>
      <c r="H59" s="307">
        <v>197</v>
      </c>
      <c r="I59" s="307">
        <f t="shared" si="10"/>
        <v>-3</v>
      </c>
      <c r="J59" s="306">
        <f t="shared" si="11"/>
        <v>-1.5</v>
      </c>
      <c r="K59" s="330"/>
      <c r="L59" s="287"/>
      <c r="M59" s="287"/>
      <c r="N59" s="287"/>
      <c r="O59" s="287"/>
      <c r="P59" s="287"/>
      <c r="Q59" s="287"/>
      <c r="R59" s="287"/>
      <c r="S59" s="287"/>
      <c r="T59" s="287"/>
      <c r="U59" s="287"/>
    </row>
    <row r="60" ht="20" customHeight="1" spans="1:21">
      <c r="A60" s="326" t="s">
        <v>94</v>
      </c>
      <c r="B60" s="333">
        <v>21759.58378</v>
      </c>
      <c r="C60" s="307">
        <v>21091.03</v>
      </c>
      <c r="D60" s="334">
        <v>21091</v>
      </c>
      <c r="E60" s="306">
        <f t="shared" si="7"/>
        <v>99.9998577594361</v>
      </c>
      <c r="F60" s="307">
        <f t="shared" si="8"/>
        <v>-668.583780000001</v>
      </c>
      <c r="G60" s="306">
        <f t="shared" si="9"/>
        <v>-3.072594525519</v>
      </c>
      <c r="H60" s="307">
        <v>21091</v>
      </c>
      <c r="I60" s="307">
        <f t="shared" si="10"/>
        <v>0</v>
      </c>
      <c r="J60" s="306">
        <f t="shared" si="11"/>
        <v>0</v>
      </c>
      <c r="K60" s="330"/>
      <c r="L60" s="287"/>
      <c r="M60" s="287"/>
      <c r="N60" s="287"/>
      <c r="O60" s="287"/>
      <c r="P60" s="287"/>
      <c r="Q60" s="287"/>
      <c r="R60" s="287"/>
      <c r="S60" s="287"/>
      <c r="T60" s="287"/>
      <c r="U60" s="287"/>
    </row>
    <row r="61" ht="20" customHeight="1" spans="1:21">
      <c r="A61" s="335" t="s">
        <v>95</v>
      </c>
      <c r="B61" s="307">
        <v>851</v>
      </c>
      <c r="C61" s="307">
        <v>851</v>
      </c>
      <c r="D61" s="314">
        <v>824</v>
      </c>
      <c r="E61" s="306">
        <f t="shared" si="7"/>
        <v>96.8272620446534</v>
      </c>
      <c r="F61" s="307">
        <f t="shared" si="8"/>
        <v>-27</v>
      </c>
      <c r="G61" s="306">
        <f t="shared" si="9"/>
        <v>-3.17273795534665</v>
      </c>
      <c r="H61" s="307">
        <v>787</v>
      </c>
      <c r="I61" s="307">
        <f t="shared" si="10"/>
        <v>-37</v>
      </c>
      <c r="J61" s="306">
        <f t="shared" si="11"/>
        <v>-4.49029126213592</v>
      </c>
      <c r="K61" s="330"/>
      <c r="L61" s="287"/>
      <c r="M61" s="287"/>
      <c r="N61" s="287"/>
      <c r="O61" s="287"/>
      <c r="P61" s="287"/>
      <c r="Q61" s="287"/>
      <c r="R61" s="287"/>
      <c r="S61" s="287"/>
      <c r="T61" s="287"/>
      <c r="U61" s="287"/>
    </row>
    <row r="62" ht="20" customHeight="1" spans="1:21">
      <c r="A62" s="335" t="s">
        <v>96</v>
      </c>
      <c r="B62" s="307">
        <v>3095</v>
      </c>
      <c r="C62" s="307">
        <v>3095</v>
      </c>
      <c r="D62" s="314">
        <v>3606</v>
      </c>
      <c r="E62" s="306">
        <f t="shared" si="7"/>
        <v>116.510500807754</v>
      </c>
      <c r="F62" s="307">
        <f t="shared" si="8"/>
        <v>511</v>
      </c>
      <c r="G62" s="306">
        <f t="shared" si="9"/>
        <v>16.5105008077544</v>
      </c>
      <c r="H62" s="307">
        <v>3095</v>
      </c>
      <c r="I62" s="307">
        <f t="shared" si="10"/>
        <v>-511</v>
      </c>
      <c r="J62" s="306">
        <f t="shared" si="11"/>
        <v>-14.1708264004437</v>
      </c>
      <c r="K62" s="330"/>
      <c r="L62" s="287"/>
      <c r="M62" s="287"/>
      <c r="N62" s="287"/>
      <c r="O62" s="287"/>
      <c r="P62" s="287"/>
      <c r="Q62" s="287"/>
      <c r="R62" s="287"/>
      <c r="S62" s="287"/>
      <c r="T62" s="287"/>
      <c r="U62" s="287"/>
    </row>
    <row r="63" ht="20" customHeight="1" spans="1:21">
      <c r="A63" s="335" t="s">
        <v>97</v>
      </c>
      <c r="B63" s="307">
        <v>14235</v>
      </c>
      <c r="C63" s="307">
        <v>7974</v>
      </c>
      <c r="D63" s="307"/>
      <c r="E63" s="306">
        <f t="shared" si="7"/>
        <v>0</v>
      </c>
      <c r="F63" s="307">
        <f t="shared" si="8"/>
        <v>-14235</v>
      </c>
      <c r="G63" s="306">
        <f t="shared" si="9"/>
        <v>-100</v>
      </c>
      <c r="H63" s="307"/>
      <c r="I63" s="307">
        <f t="shared" si="10"/>
        <v>0</v>
      </c>
      <c r="J63" s="306"/>
      <c r="K63" s="330"/>
      <c r="L63" s="287"/>
      <c r="M63" s="287"/>
      <c r="N63" s="287"/>
      <c r="O63" s="287"/>
      <c r="P63" s="287"/>
      <c r="Q63" s="287"/>
      <c r="R63" s="287"/>
      <c r="S63" s="287"/>
      <c r="T63" s="287"/>
      <c r="U63" s="287"/>
    </row>
    <row r="64" ht="20" customHeight="1" spans="1:21">
      <c r="A64" s="336" t="s">
        <v>98</v>
      </c>
      <c r="B64" s="307">
        <v>6.5</v>
      </c>
      <c r="C64" s="307"/>
      <c r="D64" s="307">
        <v>812</v>
      </c>
      <c r="E64" s="306"/>
      <c r="F64" s="307">
        <f t="shared" si="8"/>
        <v>805.5</v>
      </c>
      <c r="G64" s="306">
        <f t="shared" si="9"/>
        <v>12392.3076923077</v>
      </c>
      <c r="H64" s="307">
        <v>54</v>
      </c>
      <c r="I64" s="307">
        <f t="shared" si="10"/>
        <v>-758</v>
      </c>
      <c r="J64" s="306">
        <f t="shared" si="11"/>
        <v>-93.3497536945813</v>
      </c>
      <c r="K64" s="330"/>
      <c r="L64" s="287"/>
      <c r="M64" s="287"/>
      <c r="N64" s="287"/>
      <c r="O64" s="287"/>
      <c r="P64" s="287"/>
      <c r="Q64" s="287"/>
      <c r="R64" s="287"/>
      <c r="S64" s="287"/>
      <c r="T64" s="287"/>
      <c r="U64" s="287"/>
    </row>
    <row r="65" ht="20" customHeight="1" spans="1:21">
      <c r="A65" s="337" t="s">
        <v>99</v>
      </c>
      <c r="B65" s="307"/>
      <c r="C65" s="307"/>
      <c r="D65" s="307">
        <v>124</v>
      </c>
      <c r="E65" s="306"/>
      <c r="F65" s="307">
        <f t="shared" si="8"/>
        <v>124</v>
      </c>
      <c r="G65" s="306"/>
      <c r="H65" s="307">
        <v>73</v>
      </c>
      <c r="I65" s="307">
        <f t="shared" si="10"/>
        <v>-51</v>
      </c>
      <c r="J65" s="306">
        <f t="shared" si="11"/>
        <v>-41.1290322580645</v>
      </c>
      <c r="K65" s="330"/>
      <c r="L65" s="287"/>
      <c r="M65" s="287"/>
      <c r="N65" s="287"/>
      <c r="O65" s="287"/>
      <c r="P65" s="287"/>
      <c r="Q65" s="287"/>
      <c r="R65" s="287"/>
      <c r="S65" s="287"/>
      <c r="T65" s="287"/>
      <c r="U65" s="287"/>
    </row>
    <row r="66" ht="20" customHeight="1" spans="1:21">
      <c r="A66" s="335" t="s">
        <v>100</v>
      </c>
      <c r="B66" s="307">
        <v>1724.11</v>
      </c>
      <c r="C66" s="307">
        <v>56.11</v>
      </c>
      <c r="D66" s="307">
        <v>1162</v>
      </c>
      <c r="E66" s="306">
        <f t="shared" si="7"/>
        <v>2070.9320976653</v>
      </c>
      <c r="F66" s="307">
        <f t="shared" si="8"/>
        <v>-562.11</v>
      </c>
      <c r="G66" s="306">
        <f t="shared" si="9"/>
        <v>-32.6029081671123</v>
      </c>
      <c r="H66" s="307">
        <v>1104</v>
      </c>
      <c r="I66" s="307">
        <f t="shared" si="10"/>
        <v>-58</v>
      </c>
      <c r="J66" s="306">
        <f t="shared" si="11"/>
        <v>-4.99139414802065</v>
      </c>
      <c r="K66" s="330"/>
      <c r="L66" s="287"/>
      <c r="M66" s="287"/>
      <c r="N66" s="287"/>
      <c r="O66" s="287"/>
      <c r="P66" s="287"/>
      <c r="Q66" s="287"/>
      <c r="R66" s="287"/>
      <c r="S66" s="287"/>
      <c r="T66" s="287"/>
      <c r="U66" s="287"/>
    </row>
    <row r="67" ht="20" customHeight="1" spans="1:21">
      <c r="A67" s="335" t="s">
        <v>101</v>
      </c>
      <c r="B67" s="307">
        <v>9883.060125</v>
      </c>
      <c r="C67" s="307">
        <v>9355.22</v>
      </c>
      <c r="D67" s="307">
        <v>14564</v>
      </c>
      <c r="E67" s="306">
        <f t="shared" si="7"/>
        <v>155.677792718931</v>
      </c>
      <c r="F67" s="307">
        <f t="shared" si="8"/>
        <v>4680.939875</v>
      </c>
      <c r="G67" s="306">
        <f t="shared" si="9"/>
        <v>47.3632641691533</v>
      </c>
      <c r="H67" s="307">
        <v>11255</v>
      </c>
      <c r="I67" s="307">
        <f t="shared" si="10"/>
        <v>-3309</v>
      </c>
      <c r="J67" s="306">
        <f t="shared" si="11"/>
        <v>-22.7204064817358</v>
      </c>
      <c r="K67" s="330"/>
      <c r="L67" s="287"/>
      <c r="M67" s="287"/>
      <c r="N67" s="287"/>
      <c r="O67" s="287"/>
      <c r="P67" s="287"/>
      <c r="Q67" s="287"/>
      <c r="R67" s="287"/>
      <c r="S67" s="287"/>
      <c r="T67" s="287"/>
      <c r="U67" s="287"/>
    </row>
    <row r="68" ht="20" customHeight="1" spans="1:21">
      <c r="A68" s="337" t="s">
        <v>1215</v>
      </c>
      <c r="B68" s="307">
        <v>10</v>
      </c>
      <c r="C68" s="307"/>
      <c r="D68" s="314">
        <v>10</v>
      </c>
      <c r="E68" s="306"/>
      <c r="F68" s="307">
        <f t="shared" si="8"/>
        <v>0</v>
      </c>
      <c r="G68" s="306">
        <f t="shared" si="9"/>
        <v>0</v>
      </c>
      <c r="H68" s="307"/>
      <c r="I68" s="307">
        <f t="shared" si="10"/>
        <v>-10</v>
      </c>
      <c r="J68" s="306">
        <f t="shared" si="11"/>
        <v>-100</v>
      </c>
      <c r="K68" s="330"/>
      <c r="L68" s="287"/>
      <c r="M68" s="287"/>
      <c r="N68" s="287"/>
      <c r="O68" s="287"/>
      <c r="P68" s="287"/>
      <c r="Q68" s="287"/>
      <c r="R68" s="287"/>
      <c r="S68" s="287"/>
      <c r="T68" s="287"/>
      <c r="U68" s="287"/>
    </row>
    <row r="69" ht="20" customHeight="1" spans="1:21">
      <c r="A69" s="336" t="s">
        <v>103</v>
      </c>
      <c r="B69" s="307">
        <v>476.19</v>
      </c>
      <c r="C69" s="307">
        <v>414.19</v>
      </c>
      <c r="D69" s="314">
        <v>496</v>
      </c>
      <c r="E69" s="306">
        <f t="shared" si="7"/>
        <v>119.751804727299</v>
      </c>
      <c r="F69" s="307">
        <f t="shared" si="8"/>
        <v>19.81</v>
      </c>
      <c r="G69" s="306">
        <f t="shared" si="9"/>
        <v>4.16010416010416</v>
      </c>
      <c r="H69" s="307">
        <v>376</v>
      </c>
      <c r="I69" s="307">
        <f t="shared" si="10"/>
        <v>-120</v>
      </c>
      <c r="J69" s="306">
        <f t="shared" si="11"/>
        <v>-24.1935483870968</v>
      </c>
      <c r="K69" s="330"/>
      <c r="L69" s="287"/>
      <c r="M69" s="287"/>
      <c r="N69" s="287"/>
      <c r="O69" s="287"/>
      <c r="P69" s="287"/>
      <c r="Q69" s="287"/>
      <c r="R69" s="287"/>
      <c r="S69" s="287"/>
      <c r="T69" s="287"/>
      <c r="U69" s="287"/>
    </row>
    <row r="70" ht="20" customHeight="1" spans="1:21">
      <c r="A70" s="326" t="s">
        <v>104</v>
      </c>
      <c r="B70" s="307">
        <v>25019.354</v>
      </c>
      <c r="C70" s="307">
        <v>19840.934</v>
      </c>
      <c r="D70" s="314">
        <v>28042</v>
      </c>
      <c r="E70" s="306">
        <f t="shared" si="7"/>
        <v>141.334072277041</v>
      </c>
      <c r="F70" s="307">
        <f t="shared" si="8"/>
        <v>3022.646</v>
      </c>
      <c r="G70" s="306">
        <f t="shared" si="9"/>
        <v>12.0812311940588</v>
      </c>
      <c r="H70" s="307">
        <v>28070</v>
      </c>
      <c r="I70" s="307">
        <f t="shared" si="10"/>
        <v>28</v>
      </c>
      <c r="J70" s="306">
        <f t="shared" si="11"/>
        <v>0.0998502246630055</v>
      </c>
      <c r="K70" s="330"/>
      <c r="L70" s="287"/>
      <c r="M70" s="287"/>
      <c r="N70" s="287"/>
      <c r="O70" s="287"/>
      <c r="P70" s="287"/>
      <c r="Q70" s="287"/>
      <c r="R70" s="287"/>
      <c r="S70" s="287"/>
      <c r="T70" s="287"/>
      <c r="U70" s="287"/>
    </row>
    <row r="71" ht="20" customHeight="1" spans="1:21">
      <c r="A71" s="326" t="s">
        <v>105</v>
      </c>
      <c r="B71" s="307">
        <v>7674.3988</v>
      </c>
      <c r="C71" s="307">
        <v>5976.44</v>
      </c>
      <c r="D71" s="314">
        <v>11602</v>
      </c>
      <c r="E71" s="306">
        <f t="shared" si="7"/>
        <v>194.128946329253</v>
      </c>
      <c r="F71" s="307">
        <f t="shared" ref="F71:F102" si="13">D71-B71</f>
        <v>3927.6012</v>
      </c>
      <c r="G71" s="306">
        <f t="shared" ref="G71:G102" si="14">F71/B71*100</f>
        <v>51.1779658883508</v>
      </c>
      <c r="H71" s="307">
        <v>10426</v>
      </c>
      <c r="I71" s="307">
        <f t="shared" ref="I71:I102" si="15">H71-D71</f>
        <v>-1176</v>
      </c>
      <c r="J71" s="306">
        <f t="shared" ref="J71:J102" si="16">I71/D71*100</f>
        <v>-10.1361834166523</v>
      </c>
      <c r="K71" s="330"/>
      <c r="L71" s="287"/>
      <c r="M71" s="287"/>
      <c r="N71" s="287"/>
      <c r="O71" s="287"/>
      <c r="P71" s="287"/>
      <c r="Q71" s="287"/>
      <c r="R71" s="287"/>
      <c r="S71" s="287"/>
      <c r="T71" s="287"/>
      <c r="U71" s="287"/>
    </row>
    <row r="72" ht="20" customHeight="1" spans="1:21">
      <c r="A72" s="326" t="s">
        <v>106</v>
      </c>
      <c r="B72" s="307">
        <v>190.83</v>
      </c>
      <c r="C72" s="307">
        <v>148.83</v>
      </c>
      <c r="D72" s="314">
        <v>959</v>
      </c>
      <c r="E72" s="306">
        <f t="shared" si="7"/>
        <v>644.359336155345</v>
      </c>
      <c r="F72" s="307">
        <f t="shared" si="13"/>
        <v>768.17</v>
      </c>
      <c r="G72" s="306">
        <f t="shared" si="14"/>
        <v>402.541529109679</v>
      </c>
      <c r="H72" s="307">
        <v>951</v>
      </c>
      <c r="I72" s="307">
        <f t="shared" si="15"/>
        <v>-8</v>
      </c>
      <c r="J72" s="306">
        <f t="shared" si="16"/>
        <v>-0.834202294056309</v>
      </c>
      <c r="K72" s="330"/>
      <c r="L72" s="287"/>
      <c r="M72" s="287"/>
      <c r="N72" s="287"/>
      <c r="O72" s="287"/>
      <c r="P72" s="287"/>
      <c r="Q72" s="287"/>
      <c r="R72" s="287"/>
      <c r="S72" s="287"/>
      <c r="T72" s="287"/>
      <c r="U72" s="287"/>
    </row>
    <row r="73" ht="20" customHeight="1" spans="1:21">
      <c r="A73" s="326" t="s">
        <v>107</v>
      </c>
      <c r="B73" s="307">
        <v>12588.4018</v>
      </c>
      <c r="C73" s="307">
        <v>6638.87</v>
      </c>
      <c r="D73" s="314">
        <v>30194</v>
      </c>
      <c r="E73" s="306">
        <f t="shared" si="7"/>
        <v>454.806314930101</v>
      </c>
      <c r="F73" s="307">
        <f t="shared" si="13"/>
        <v>17605.5982</v>
      </c>
      <c r="G73" s="306">
        <f t="shared" si="14"/>
        <v>139.855705908593</v>
      </c>
      <c r="H73" s="307">
        <v>14212</v>
      </c>
      <c r="I73" s="307">
        <f t="shared" si="15"/>
        <v>-15982</v>
      </c>
      <c r="J73" s="306">
        <f t="shared" si="16"/>
        <v>-52.9310459031596</v>
      </c>
      <c r="K73" s="330"/>
      <c r="L73" s="287"/>
      <c r="M73" s="287"/>
      <c r="N73" s="287"/>
      <c r="O73" s="287"/>
      <c r="P73" s="287"/>
      <c r="Q73" s="287"/>
      <c r="R73" s="287"/>
      <c r="S73" s="287"/>
      <c r="T73" s="287"/>
      <c r="U73" s="287"/>
    </row>
    <row r="74" ht="20" customHeight="1" spans="1:21">
      <c r="A74" s="326" t="s">
        <v>108</v>
      </c>
      <c r="B74" s="307">
        <v>3778.77</v>
      </c>
      <c r="C74" s="307">
        <v>3223.72</v>
      </c>
      <c r="D74" s="314">
        <v>702</v>
      </c>
      <c r="E74" s="306">
        <f t="shared" si="7"/>
        <v>21.7760847716303</v>
      </c>
      <c r="F74" s="307">
        <f t="shared" si="13"/>
        <v>-3076.77</v>
      </c>
      <c r="G74" s="306">
        <f t="shared" si="14"/>
        <v>-81.4225263776308</v>
      </c>
      <c r="H74" s="307">
        <v>442</v>
      </c>
      <c r="I74" s="307">
        <f t="shared" si="15"/>
        <v>-260</v>
      </c>
      <c r="J74" s="306">
        <f t="shared" si="16"/>
        <v>-37.037037037037</v>
      </c>
      <c r="K74" s="330"/>
      <c r="L74" s="287"/>
      <c r="M74" s="287"/>
      <c r="N74" s="287"/>
      <c r="O74" s="287"/>
      <c r="P74" s="287"/>
      <c r="Q74" s="287"/>
      <c r="R74" s="287"/>
      <c r="S74" s="287"/>
      <c r="T74" s="287"/>
      <c r="U74" s="287"/>
    </row>
    <row r="75" ht="20" customHeight="1" spans="1:21">
      <c r="A75" s="326" t="s">
        <v>109</v>
      </c>
      <c r="B75" s="307"/>
      <c r="C75" s="307"/>
      <c r="D75" s="314">
        <v>-420</v>
      </c>
      <c r="E75" s="306"/>
      <c r="F75" s="307">
        <f t="shared" si="13"/>
        <v>-420</v>
      </c>
      <c r="G75" s="306"/>
      <c r="H75" s="307"/>
      <c r="I75" s="307">
        <f t="shared" si="15"/>
        <v>420</v>
      </c>
      <c r="J75" s="306">
        <f t="shared" si="16"/>
        <v>-100</v>
      </c>
      <c r="K75" s="330"/>
      <c r="L75" s="287"/>
      <c r="M75" s="287"/>
      <c r="N75" s="287"/>
      <c r="O75" s="287"/>
      <c r="P75" s="287"/>
      <c r="Q75" s="287"/>
      <c r="R75" s="287"/>
      <c r="S75" s="287"/>
      <c r="T75" s="287"/>
      <c r="U75" s="287"/>
    </row>
    <row r="76" ht="20" customHeight="1" spans="1:21">
      <c r="A76" s="326" t="s">
        <v>110</v>
      </c>
      <c r="B76" s="307">
        <v>1163.47</v>
      </c>
      <c r="C76" s="307">
        <v>124.51</v>
      </c>
      <c r="D76" s="314">
        <v>634</v>
      </c>
      <c r="E76" s="306">
        <f>D76/C76*100</f>
        <v>509.19604851016</v>
      </c>
      <c r="F76" s="307">
        <f t="shared" si="13"/>
        <v>-529.47</v>
      </c>
      <c r="G76" s="306">
        <f t="shared" si="14"/>
        <v>-45.5078343231884</v>
      </c>
      <c r="H76" s="307">
        <v>3908</v>
      </c>
      <c r="I76" s="307">
        <f t="shared" si="15"/>
        <v>3274</v>
      </c>
      <c r="J76" s="306">
        <f t="shared" si="16"/>
        <v>516.403785488959</v>
      </c>
      <c r="K76" s="330"/>
      <c r="L76" s="287"/>
      <c r="M76" s="287"/>
      <c r="N76" s="287"/>
      <c r="O76" s="287"/>
      <c r="P76" s="287"/>
      <c r="Q76" s="287"/>
      <c r="R76" s="287"/>
      <c r="S76" s="287"/>
      <c r="T76" s="287"/>
      <c r="U76" s="287"/>
    </row>
    <row r="77" ht="20" customHeight="1" spans="1:21">
      <c r="A77" s="326" t="s">
        <v>111</v>
      </c>
      <c r="B77" s="307">
        <v>22.06</v>
      </c>
      <c r="C77" s="307"/>
      <c r="D77" s="314">
        <v>21</v>
      </c>
      <c r="E77" s="306"/>
      <c r="F77" s="307">
        <f t="shared" si="13"/>
        <v>-1.06</v>
      </c>
      <c r="G77" s="306">
        <f t="shared" si="14"/>
        <v>-4.80507706255666</v>
      </c>
      <c r="H77" s="307"/>
      <c r="I77" s="307">
        <f t="shared" si="15"/>
        <v>-21</v>
      </c>
      <c r="J77" s="306">
        <f t="shared" si="16"/>
        <v>-100</v>
      </c>
      <c r="K77" s="330"/>
      <c r="L77" s="287"/>
      <c r="M77" s="287"/>
      <c r="N77" s="287"/>
      <c r="O77" s="287"/>
      <c r="P77" s="287"/>
      <c r="Q77" s="287"/>
      <c r="R77" s="287"/>
      <c r="S77" s="287"/>
      <c r="T77" s="287"/>
      <c r="U77" s="287"/>
    </row>
    <row r="78" ht="20" customHeight="1" spans="1:21">
      <c r="A78" s="326" t="s">
        <v>112</v>
      </c>
      <c r="B78" s="307">
        <v>49.2</v>
      </c>
      <c r="C78" s="307"/>
      <c r="D78" s="314">
        <v>23</v>
      </c>
      <c r="E78" s="306"/>
      <c r="F78" s="307">
        <f t="shared" si="13"/>
        <v>-26.2</v>
      </c>
      <c r="G78" s="306">
        <f t="shared" si="14"/>
        <v>-53.2520325203252</v>
      </c>
      <c r="H78" s="307"/>
      <c r="I78" s="307">
        <f t="shared" si="15"/>
        <v>-23</v>
      </c>
      <c r="J78" s="306">
        <f t="shared" si="16"/>
        <v>-100</v>
      </c>
      <c r="K78" s="330"/>
      <c r="L78" s="287"/>
      <c r="M78" s="287"/>
      <c r="N78" s="287"/>
      <c r="O78" s="287"/>
      <c r="P78" s="287"/>
      <c r="Q78" s="287"/>
      <c r="R78" s="287"/>
      <c r="S78" s="287"/>
      <c r="T78" s="287"/>
      <c r="U78" s="287"/>
    </row>
    <row r="79" ht="20" customHeight="1" spans="1:21">
      <c r="A79" s="326" t="s">
        <v>113</v>
      </c>
      <c r="B79" s="307"/>
      <c r="C79" s="307"/>
      <c r="D79" s="314"/>
      <c r="E79" s="306"/>
      <c r="F79" s="307">
        <f t="shared" si="13"/>
        <v>0</v>
      </c>
      <c r="G79" s="306"/>
      <c r="H79" s="307"/>
      <c r="I79" s="307">
        <f t="shared" si="15"/>
        <v>0</v>
      </c>
      <c r="J79" s="306"/>
      <c r="K79" s="330"/>
      <c r="L79" s="287"/>
      <c r="M79" s="287"/>
      <c r="N79" s="287"/>
      <c r="O79" s="287"/>
      <c r="P79" s="287"/>
      <c r="Q79" s="287"/>
      <c r="R79" s="287"/>
      <c r="S79" s="287"/>
      <c r="T79" s="287"/>
      <c r="U79" s="287"/>
    </row>
    <row r="80" ht="20" customHeight="1" spans="1:21">
      <c r="A80" s="326" t="s">
        <v>114</v>
      </c>
      <c r="B80" s="307"/>
      <c r="C80" s="307"/>
      <c r="D80" s="314"/>
      <c r="E80" s="306"/>
      <c r="F80" s="307">
        <f t="shared" si="13"/>
        <v>0</v>
      </c>
      <c r="G80" s="306"/>
      <c r="H80" s="307"/>
      <c r="I80" s="307">
        <f t="shared" si="15"/>
        <v>0</v>
      </c>
      <c r="J80" s="306"/>
      <c r="K80" s="330"/>
      <c r="L80" s="287"/>
      <c r="M80" s="287"/>
      <c r="N80" s="287"/>
      <c r="O80" s="287"/>
      <c r="P80" s="287"/>
      <c r="Q80" s="287"/>
      <c r="R80" s="287"/>
      <c r="S80" s="287"/>
      <c r="T80" s="287"/>
      <c r="U80" s="287"/>
    </row>
    <row r="81" ht="20" customHeight="1" spans="1:21">
      <c r="A81" s="326" t="s">
        <v>115</v>
      </c>
      <c r="B81" s="307"/>
      <c r="C81" s="307"/>
      <c r="D81" s="314"/>
      <c r="E81" s="306"/>
      <c r="F81" s="307">
        <f t="shared" si="13"/>
        <v>0</v>
      </c>
      <c r="G81" s="306"/>
      <c r="H81" s="307"/>
      <c r="I81" s="307">
        <f t="shared" si="15"/>
        <v>0</v>
      </c>
      <c r="J81" s="306"/>
      <c r="K81" s="330"/>
      <c r="L81" s="287"/>
      <c r="M81" s="287"/>
      <c r="N81" s="287"/>
      <c r="O81" s="287"/>
      <c r="P81" s="287"/>
      <c r="Q81" s="287"/>
      <c r="R81" s="287"/>
      <c r="S81" s="287"/>
      <c r="T81" s="287"/>
      <c r="U81" s="287"/>
    </row>
    <row r="82" ht="20" customHeight="1" spans="1:21">
      <c r="A82" s="326" t="s">
        <v>116</v>
      </c>
      <c r="B82" s="307"/>
      <c r="C82" s="307"/>
      <c r="D82" s="314"/>
      <c r="E82" s="306"/>
      <c r="F82" s="307">
        <f t="shared" si="13"/>
        <v>0</v>
      </c>
      <c r="G82" s="306"/>
      <c r="H82" s="307"/>
      <c r="I82" s="307">
        <f t="shared" si="15"/>
        <v>0</v>
      </c>
      <c r="J82" s="306"/>
      <c r="K82" s="330"/>
      <c r="L82" s="287"/>
      <c r="M82" s="287"/>
      <c r="N82" s="287"/>
      <c r="O82" s="287"/>
      <c r="P82" s="287"/>
      <c r="Q82" s="287"/>
      <c r="R82" s="287"/>
      <c r="S82" s="287"/>
      <c r="T82" s="287"/>
      <c r="U82" s="287"/>
    </row>
    <row r="83" ht="20" customHeight="1" spans="1:21">
      <c r="A83" s="326" t="s">
        <v>117</v>
      </c>
      <c r="B83" s="307">
        <v>834.70908</v>
      </c>
      <c r="C83" s="307">
        <v>465.79</v>
      </c>
      <c r="D83" s="314">
        <v>96</v>
      </c>
      <c r="E83" s="306">
        <f>D83/C83*100</f>
        <v>20.6101462032246</v>
      </c>
      <c r="F83" s="307">
        <f t="shared" si="13"/>
        <v>-738.70908</v>
      </c>
      <c r="G83" s="306">
        <f t="shared" si="14"/>
        <v>-88.4989869763966</v>
      </c>
      <c r="H83" s="307">
        <v>96</v>
      </c>
      <c r="I83" s="307">
        <f t="shared" si="15"/>
        <v>0</v>
      </c>
      <c r="J83" s="306">
        <f t="shared" si="16"/>
        <v>0</v>
      </c>
      <c r="K83" s="330"/>
      <c r="L83" s="287"/>
      <c r="M83" s="287"/>
      <c r="N83" s="287"/>
      <c r="O83" s="287"/>
      <c r="P83" s="287"/>
      <c r="Q83" s="287"/>
      <c r="R83" s="287"/>
      <c r="S83" s="287"/>
      <c r="T83" s="287"/>
      <c r="U83" s="287"/>
    </row>
    <row r="84" s="278" customFormat="1" ht="20" customHeight="1" spans="1:21">
      <c r="A84" s="326" t="s">
        <v>118</v>
      </c>
      <c r="B84" s="338">
        <f>SUM(B85:B105)</f>
        <v>16939.158095</v>
      </c>
      <c r="C84" s="325">
        <f>SUM(C85:C105)</f>
        <v>7057.91</v>
      </c>
      <c r="D84" s="338">
        <f>SUM(D85:D105)</f>
        <v>29280</v>
      </c>
      <c r="E84" s="306">
        <f>D84/C84*100</f>
        <v>414.853688981582</v>
      </c>
      <c r="F84" s="307">
        <f t="shared" si="13"/>
        <v>12340.841905</v>
      </c>
      <c r="G84" s="306">
        <f t="shared" si="14"/>
        <v>72.8539271892308</v>
      </c>
      <c r="H84" s="325">
        <f>SUM(H85:H105)</f>
        <v>5967.43</v>
      </c>
      <c r="I84" s="307">
        <f t="shared" si="15"/>
        <v>-23312.57</v>
      </c>
      <c r="J84" s="306">
        <f t="shared" si="16"/>
        <v>-79.6194330601093</v>
      </c>
      <c r="K84" s="330"/>
      <c r="L84" s="287"/>
      <c r="M84" s="287"/>
      <c r="N84" s="287"/>
      <c r="O84" s="287"/>
      <c r="P84" s="287"/>
      <c r="Q84" s="287"/>
      <c r="R84" s="287"/>
      <c r="S84" s="287"/>
      <c r="T84" s="287"/>
      <c r="U84" s="287"/>
    </row>
    <row r="85" ht="20" customHeight="1" spans="1:21">
      <c r="A85" s="326" t="s">
        <v>119</v>
      </c>
      <c r="B85" s="339">
        <v>3423.8964</v>
      </c>
      <c r="C85" s="307">
        <v>62.33</v>
      </c>
      <c r="D85" s="340">
        <v>704</v>
      </c>
      <c r="E85" s="306">
        <f>D85/C85*100</f>
        <v>1129.47216428686</v>
      </c>
      <c r="F85" s="307">
        <f t="shared" si="13"/>
        <v>-2719.8964</v>
      </c>
      <c r="G85" s="306">
        <f t="shared" si="14"/>
        <v>-79.4386302108907</v>
      </c>
      <c r="H85" s="307">
        <v>150.86</v>
      </c>
      <c r="I85" s="307">
        <f t="shared" si="15"/>
        <v>-553.14</v>
      </c>
      <c r="J85" s="306">
        <f t="shared" si="16"/>
        <v>-78.5710227272727</v>
      </c>
      <c r="K85" s="330"/>
      <c r="L85" s="287"/>
      <c r="M85" s="287"/>
      <c r="N85" s="287"/>
      <c r="O85" s="287"/>
      <c r="P85" s="287"/>
      <c r="Q85" s="287"/>
      <c r="R85" s="287"/>
      <c r="S85" s="287"/>
      <c r="T85" s="287"/>
      <c r="U85" s="287"/>
    </row>
    <row r="86" ht="20" customHeight="1" spans="1:21">
      <c r="A86" s="326" t="s">
        <v>120</v>
      </c>
      <c r="B86" s="339"/>
      <c r="C86" s="307"/>
      <c r="D86" s="340"/>
      <c r="E86" s="306"/>
      <c r="F86" s="307">
        <f t="shared" si="13"/>
        <v>0</v>
      </c>
      <c r="G86" s="306"/>
      <c r="H86" s="307"/>
      <c r="I86" s="307">
        <f t="shared" si="15"/>
        <v>0</v>
      </c>
      <c r="J86" s="306"/>
      <c r="K86" s="330"/>
      <c r="L86" s="287"/>
      <c r="M86" s="287"/>
      <c r="N86" s="287"/>
      <c r="O86" s="287"/>
      <c r="P86" s="287"/>
      <c r="Q86" s="287"/>
      <c r="R86" s="287"/>
      <c r="S86" s="287"/>
      <c r="T86" s="287"/>
      <c r="U86" s="287"/>
    </row>
    <row r="87" ht="20" customHeight="1" spans="1:21">
      <c r="A87" s="326" t="s">
        <v>121</v>
      </c>
      <c r="B87" s="339"/>
      <c r="C87" s="307"/>
      <c r="D87" s="340"/>
      <c r="E87" s="306"/>
      <c r="F87" s="307">
        <f t="shared" si="13"/>
        <v>0</v>
      </c>
      <c r="G87" s="306"/>
      <c r="H87" s="307"/>
      <c r="I87" s="307">
        <f t="shared" si="15"/>
        <v>0</v>
      </c>
      <c r="J87" s="306"/>
      <c r="K87" s="330"/>
      <c r="L87" s="287"/>
      <c r="M87" s="287"/>
      <c r="N87" s="287"/>
      <c r="O87" s="287"/>
      <c r="P87" s="287"/>
      <c r="Q87" s="287"/>
      <c r="R87" s="287"/>
      <c r="S87" s="287"/>
      <c r="T87" s="287"/>
      <c r="U87" s="287"/>
    </row>
    <row r="88" ht="20" customHeight="1" spans="1:21">
      <c r="A88" s="326" t="s">
        <v>122</v>
      </c>
      <c r="B88" s="339"/>
      <c r="C88" s="307"/>
      <c r="D88" s="340"/>
      <c r="E88" s="306"/>
      <c r="F88" s="307">
        <f t="shared" si="13"/>
        <v>0</v>
      </c>
      <c r="G88" s="306"/>
      <c r="H88" s="307"/>
      <c r="I88" s="307">
        <f t="shared" si="15"/>
        <v>0</v>
      </c>
      <c r="J88" s="306"/>
      <c r="K88" s="330"/>
      <c r="L88" s="287"/>
      <c r="M88" s="287"/>
      <c r="N88" s="287"/>
      <c r="O88" s="287"/>
      <c r="P88" s="287"/>
      <c r="Q88" s="287"/>
      <c r="R88" s="287"/>
      <c r="S88" s="287"/>
      <c r="T88" s="287"/>
      <c r="U88" s="287"/>
    </row>
    <row r="89" ht="20" customHeight="1" spans="1:21">
      <c r="A89" s="326" t="s">
        <v>123</v>
      </c>
      <c r="B89" s="339"/>
      <c r="C89" s="307"/>
      <c r="D89" s="340"/>
      <c r="E89" s="306"/>
      <c r="F89" s="307">
        <f t="shared" si="13"/>
        <v>0</v>
      </c>
      <c r="G89" s="306"/>
      <c r="H89" s="307"/>
      <c r="I89" s="307">
        <f t="shared" si="15"/>
        <v>0</v>
      </c>
      <c r="J89" s="306"/>
      <c r="K89" s="330"/>
      <c r="L89" s="287"/>
      <c r="M89" s="287"/>
      <c r="N89" s="287"/>
      <c r="O89" s="287"/>
      <c r="P89" s="287"/>
      <c r="Q89" s="287"/>
      <c r="R89" s="287"/>
      <c r="S89" s="287"/>
      <c r="T89" s="287"/>
      <c r="U89" s="287"/>
    </row>
    <row r="90" ht="20" customHeight="1" spans="1:21">
      <c r="A90" s="326" t="s">
        <v>124</v>
      </c>
      <c r="B90" s="339"/>
      <c r="C90" s="307"/>
      <c r="D90" s="340"/>
      <c r="E90" s="306"/>
      <c r="F90" s="307">
        <f t="shared" si="13"/>
        <v>0</v>
      </c>
      <c r="G90" s="306"/>
      <c r="H90" s="307"/>
      <c r="I90" s="307">
        <f t="shared" si="15"/>
        <v>0</v>
      </c>
      <c r="J90" s="306"/>
      <c r="K90" s="330"/>
      <c r="L90" s="287"/>
      <c r="M90" s="287"/>
      <c r="N90" s="287"/>
      <c r="O90" s="287"/>
      <c r="P90" s="287"/>
      <c r="Q90" s="287"/>
      <c r="R90" s="287"/>
      <c r="S90" s="287"/>
      <c r="T90" s="287"/>
      <c r="U90" s="287"/>
    </row>
    <row r="91" ht="20" customHeight="1" spans="1:21">
      <c r="A91" s="326" t="s">
        <v>125</v>
      </c>
      <c r="B91" s="339">
        <v>-38.613895</v>
      </c>
      <c r="C91" s="307"/>
      <c r="D91" s="340"/>
      <c r="E91" s="306"/>
      <c r="F91" s="307">
        <f t="shared" si="13"/>
        <v>38.613895</v>
      </c>
      <c r="G91" s="306">
        <f t="shared" si="14"/>
        <v>-100</v>
      </c>
      <c r="H91" s="307"/>
      <c r="I91" s="307">
        <f t="shared" si="15"/>
        <v>0</v>
      </c>
      <c r="J91" s="306"/>
      <c r="K91" s="330"/>
      <c r="L91" s="287"/>
      <c r="M91" s="287"/>
      <c r="N91" s="287"/>
      <c r="O91" s="287"/>
      <c r="P91" s="287"/>
      <c r="Q91" s="287"/>
      <c r="R91" s="287"/>
      <c r="S91" s="287"/>
      <c r="T91" s="287"/>
      <c r="U91" s="287"/>
    </row>
    <row r="92" ht="20" customHeight="1" spans="1:21">
      <c r="A92" s="326" t="s">
        <v>126</v>
      </c>
      <c r="B92" s="339">
        <v>301.62</v>
      </c>
      <c r="C92" s="307">
        <v>31.11</v>
      </c>
      <c r="D92" s="340">
        <v>55</v>
      </c>
      <c r="E92" s="306">
        <f>D92/C92*100</f>
        <v>176.792028286725</v>
      </c>
      <c r="F92" s="307">
        <f t="shared" si="13"/>
        <v>-246.62</v>
      </c>
      <c r="G92" s="306">
        <f t="shared" si="14"/>
        <v>-81.7651349380015</v>
      </c>
      <c r="H92" s="307">
        <v>3</v>
      </c>
      <c r="I92" s="307">
        <f t="shared" si="15"/>
        <v>-52</v>
      </c>
      <c r="J92" s="306">
        <f t="shared" si="16"/>
        <v>-94.5454545454545</v>
      </c>
      <c r="K92" s="330"/>
      <c r="L92" s="287"/>
      <c r="M92" s="287"/>
      <c r="N92" s="287"/>
      <c r="O92" s="287"/>
      <c r="P92" s="287"/>
      <c r="Q92" s="287"/>
      <c r="R92" s="287"/>
      <c r="S92" s="287"/>
      <c r="T92" s="287"/>
      <c r="U92" s="287"/>
    </row>
    <row r="93" ht="20" customHeight="1" spans="1:21">
      <c r="A93" s="326" t="s">
        <v>127</v>
      </c>
      <c r="B93" s="339">
        <v>620.27</v>
      </c>
      <c r="C93" s="307">
        <v>364.76</v>
      </c>
      <c r="D93" s="340">
        <v>3197</v>
      </c>
      <c r="E93" s="306">
        <f>D93/C93*100</f>
        <v>876.466717841869</v>
      </c>
      <c r="F93" s="307">
        <f t="shared" si="13"/>
        <v>2576.73</v>
      </c>
      <c r="G93" s="306">
        <f t="shared" si="14"/>
        <v>415.420703887017</v>
      </c>
      <c r="H93" s="307">
        <v>28.28</v>
      </c>
      <c r="I93" s="307">
        <f t="shared" si="15"/>
        <v>-3168.72</v>
      </c>
      <c r="J93" s="306">
        <f t="shared" si="16"/>
        <v>-99.1154207069127</v>
      </c>
      <c r="K93" s="330"/>
      <c r="L93" s="287"/>
      <c r="M93" s="287"/>
      <c r="N93" s="287"/>
      <c r="O93" s="287"/>
      <c r="P93" s="287"/>
      <c r="Q93" s="287"/>
      <c r="R93" s="287"/>
      <c r="S93" s="287"/>
      <c r="T93" s="287"/>
      <c r="U93" s="287"/>
    </row>
    <row r="94" ht="20" customHeight="1" spans="1:21">
      <c r="A94" s="326" t="s">
        <v>128</v>
      </c>
      <c r="B94" s="339">
        <v>124.774834</v>
      </c>
      <c r="C94" s="307">
        <v>1063</v>
      </c>
      <c r="D94" s="340">
        <v>1249</v>
      </c>
      <c r="E94" s="306">
        <f>D94/C94*100</f>
        <v>117.497648165569</v>
      </c>
      <c r="F94" s="307">
        <f t="shared" si="13"/>
        <v>1124.225166</v>
      </c>
      <c r="G94" s="306">
        <f t="shared" si="14"/>
        <v>901.003134975118</v>
      </c>
      <c r="H94" s="307"/>
      <c r="I94" s="307">
        <f t="shared" si="15"/>
        <v>-1249</v>
      </c>
      <c r="J94" s="306">
        <f t="shared" si="16"/>
        <v>-100</v>
      </c>
      <c r="K94" s="330"/>
      <c r="L94" s="287"/>
      <c r="M94" s="287"/>
      <c r="N94" s="287"/>
      <c r="O94" s="287"/>
      <c r="P94" s="287"/>
      <c r="Q94" s="287"/>
      <c r="R94" s="287"/>
      <c r="S94" s="287"/>
      <c r="T94" s="287"/>
      <c r="U94" s="287"/>
    </row>
    <row r="95" ht="20" customHeight="1" spans="1:21">
      <c r="A95" s="326" t="s">
        <v>129</v>
      </c>
      <c r="B95" s="339">
        <v>782</v>
      </c>
      <c r="C95" s="307"/>
      <c r="D95" s="340">
        <v>7992</v>
      </c>
      <c r="E95" s="306"/>
      <c r="F95" s="307">
        <f t="shared" si="13"/>
        <v>7210</v>
      </c>
      <c r="G95" s="306">
        <f t="shared" si="14"/>
        <v>921.994884910486</v>
      </c>
      <c r="H95" s="307"/>
      <c r="I95" s="307">
        <f t="shared" si="15"/>
        <v>-7992</v>
      </c>
      <c r="J95" s="306">
        <f t="shared" si="16"/>
        <v>-100</v>
      </c>
      <c r="K95" s="330"/>
      <c r="L95" s="287"/>
      <c r="M95" s="287"/>
      <c r="N95" s="287"/>
      <c r="O95" s="287"/>
      <c r="P95" s="287"/>
      <c r="Q95" s="287"/>
      <c r="R95" s="287"/>
      <c r="S95" s="287"/>
      <c r="T95" s="287"/>
      <c r="U95" s="287"/>
    </row>
    <row r="96" ht="20" customHeight="1" spans="1:21">
      <c r="A96" s="326" t="s">
        <v>130</v>
      </c>
      <c r="B96" s="339">
        <v>3548.58</v>
      </c>
      <c r="C96" s="307">
        <v>4531.69</v>
      </c>
      <c r="D96" s="340">
        <v>6526</v>
      </c>
      <c r="E96" s="306">
        <f>D96/C96*100</f>
        <v>144.008085283857</v>
      </c>
      <c r="F96" s="307">
        <f t="shared" si="13"/>
        <v>2977.42</v>
      </c>
      <c r="G96" s="306">
        <f t="shared" si="14"/>
        <v>83.9045477345868</v>
      </c>
      <c r="H96" s="307">
        <v>4170.16</v>
      </c>
      <c r="I96" s="307">
        <f t="shared" si="15"/>
        <v>-2355.84</v>
      </c>
      <c r="J96" s="306">
        <f t="shared" si="16"/>
        <v>-36.0992951271836</v>
      </c>
      <c r="K96" s="330"/>
      <c r="L96" s="287"/>
      <c r="M96" s="287"/>
      <c r="N96" s="287"/>
      <c r="O96" s="287"/>
      <c r="P96" s="287"/>
      <c r="Q96" s="287"/>
      <c r="R96" s="287"/>
      <c r="S96" s="287"/>
      <c r="T96" s="287"/>
      <c r="U96" s="287"/>
    </row>
    <row r="97" ht="20" customHeight="1" spans="1:21">
      <c r="A97" s="326" t="s">
        <v>131</v>
      </c>
      <c r="B97" s="339">
        <v>497.3715</v>
      </c>
      <c r="C97" s="307">
        <v>630</v>
      </c>
      <c r="D97" s="340">
        <v>1092</v>
      </c>
      <c r="E97" s="306">
        <f>D97/C97*100</f>
        <v>173.333333333333</v>
      </c>
      <c r="F97" s="307">
        <f t="shared" si="13"/>
        <v>594.6285</v>
      </c>
      <c r="G97" s="306">
        <f t="shared" si="14"/>
        <v>119.55419641053</v>
      </c>
      <c r="H97" s="307">
        <v>1137</v>
      </c>
      <c r="I97" s="307">
        <f t="shared" si="15"/>
        <v>45</v>
      </c>
      <c r="J97" s="306">
        <f t="shared" si="16"/>
        <v>4.12087912087912</v>
      </c>
      <c r="K97" s="330"/>
      <c r="L97" s="287"/>
      <c r="M97" s="287"/>
      <c r="N97" s="287"/>
      <c r="O97" s="287"/>
      <c r="P97" s="287"/>
      <c r="Q97" s="287"/>
      <c r="R97" s="287"/>
      <c r="S97" s="287"/>
      <c r="T97" s="287"/>
      <c r="U97" s="287"/>
    </row>
    <row r="98" ht="20" customHeight="1" spans="1:21">
      <c r="A98" s="326" t="s">
        <v>132</v>
      </c>
      <c r="B98" s="339">
        <v>3757.99</v>
      </c>
      <c r="C98" s="307"/>
      <c r="D98" s="340">
        <v>5247</v>
      </c>
      <c r="E98" s="306"/>
      <c r="F98" s="307">
        <f t="shared" si="13"/>
        <v>1489.01</v>
      </c>
      <c r="G98" s="306">
        <f t="shared" si="14"/>
        <v>39.62251096996</v>
      </c>
      <c r="H98" s="307"/>
      <c r="I98" s="307">
        <f t="shared" si="15"/>
        <v>-5247</v>
      </c>
      <c r="J98" s="306">
        <f t="shared" si="16"/>
        <v>-100</v>
      </c>
      <c r="K98" s="330"/>
      <c r="L98" s="287"/>
      <c r="M98" s="287"/>
      <c r="N98" s="287"/>
      <c r="O98" s="287"/>
      <c r="P98" s="287"/>
      <c r="Q98" s="287"/>
      <c r="R98" s="287"/>
      <c r="S98" s="287"/>
      <c r="T98" s="287"/>
      <c r="U98" s="287"/>
    </row>
    <row r="99" ht="20" customHeight="1" spans="1:21">
      <c r="A99" s="326" t="s">
        <v>133</v>
      </c>
      <c r="B99" s="339"/>
      <c r="C99" s="307"/>
      <c r="D99" s="340"/>
      <c r="E99" s="306"/>
      <c r="F99" s="307">
        <f t="shared" si="13"/>
        <v>0</v>
      </c>
      <c r="G99" s="306"/>
      <c r="H99" s="307"/>
      <c r="I99" s="307">
        <f t="shared" si="15"/>
        <v>0</v>
      </c>
      <c r="J99" s="306"/>
      <c r="K99" s="330"/>
      <c r="L99" s="287"/>
      <c r="M99" s="287"/>
      <c r="N99" s="287"/>
      <c r="O99" s="287"/>
      <c r="P99" s="287"/>
      <c r="Q99" s="287"/>
      <c r="R99" s="287"/>
      <c r="S99" s="287"/>
      <c r="T99" s="287"/>
      <c r="U99" s="287"/>
    </row>
    <row r="100" ht="20" customHeight="1" spans="1:21">
      <c r="A100" s="326" t="s">
        <v>134</v>
      </c>
      <c r="B100" s="339">
        <v>1783.128556</v>
      </c>
      <c r="C100" s="307"/>
      <c r="D100" s="340">
        <v>892</v>
      </c>
      <c r="E100" s="306"/>
      <c r="F100" s="307">
        <f t="shared" si="13"/>
        <v>-891.128556</v>
      </c>
      <c r="G100" s="306">
        <f t="shared" si="14"/>
        <v>-49.9755641847284</v>
      </c>
      <c r="H100" s="307"/>
      <c r="I100" s="307">
        <f t="shared" si="15"/>
        <v>-892</v>
      </c>
      <c r="J100" s="306">
        <f t="shared" si="16"/>
        <v>-100</v>
      </c>
      <c r="K100" s="330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</row>
    <row r="101" ht="20" customHeight="1" spans="1:21">
      <c r="A101" s="326" t="s">
        <v>135</v>
      </c>
      <c r="B101" s="339">
        <v>780.3407</v>
      </c>
      <c r="C101" s="307"/>
      <c r="D101" s="340">
        <v>1778</v>
      </c>
      <c r="E101" s="306"/>
      <c r="F101" s="307">
        <f t="shared" si="13"/>
        <v>997.6593</v>
      </c>
      <c r="G101" s="306">
        <f t="shared" si="14"/>
        <v>127.849194588979</v>
      </c>
      <c r="H101" s="307">
        <v>360</v>
      </c>
      <c r="I101" s="307">
        <f t="shared" si="15"/>
        <v>-1418</v>
      </c>
      <c r="J101" s="306">
        <f t="shared" si="16"/>
        <v>-79.7525309336333</v>
      </c>
      <c r="K101" s="330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</row>
    <row r="102" ht="20" customHeight="1" spans="1:21">
      <c r="A102" s="326" t="s">
        <v>136</v>
      </c>
      <c r="B102" s="339">
        <v>1139</v>
      </c>
      <c r="C102" s="307"/>
      <c r="D102" s="340"/>
      <c r="E102" s="306"/>
      <c r="F102" s="307">
        <f t="shared" si="13"/>
        <v>-1139</v>
      </c>
      <c r="G102" s="306">
        <f t="shared" si="14"/>
        <v>-100</v>
      </c>
      <c r="H102" s="307"/>
      <c r="I102" s="307">
        <f t="shared" si="15"/>
        <v>0</v>
      </c>
      <c r="J102" s="306"/>
      <c r="K102" s="330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</row>
    <row r="103" ht="20" customHeight="1" spans="1:21">
      <c r="A103" s="326" t="s">
        <v>137</v>
      </c>
      <c r="B103" s="339">
        <v>164.2</v>
      </c>
      <c r="C103" s="307">
        <v>12.5</v>
      </c>
      <c r="D103" s="340">
        <v>12</v>
      </c>
      <c r="E103" s="306">
        <f>D103/C103*100</f>
        <v>96</v>
      </c>
      <c r="F103" s="307">
        <f t="shared" ref="F103:F126" si="17">D103-B103</f>
        <v>-152.2</v>
      </c>
      <c r="G103" s="306">
        <f t="shared" ref="G103:G126" si="18">F103/B103*100</f>
        <v>-92.6918392204628</v>
      </c>
      <c r="H103" s="307"/>
      <c r="I103" s="307">
        <f t="shared" ref="I103:I126" si="19">H103-D103</f>
        <v>-12</v>
      </c>
      <c r="J103" s="306">
        <f t="shared" ref="J103:J126" si="20">I103/D103*100</f>
        <v>-100</v>
      </c>
      <c r="K103" s="330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</row>
    <row r="104" ht="20" customHeight="1" spans="1:21">
      <c r="A104" s="326" t="s">
        <v>138</v>
      </c>
      <c r="B104" s="339">
        <v>54.6</v>
      </c>
      <c r="C104" s="307">
        <v>362.52</v>
      </c>
      <c r="D104" s="340">
        <v>536</v>
      </c>
      <c r="E104" s="306">
        <f>D104/C104*100</f>
        <v>147.853911508331</v>
      </c>
      <c r="F104" s="307">
        <f t="shared" si="17"/>
        <v>481.4</v>
      </c>
      <c r="G104" s="306">
        <f t="shared" si="18"/>
        <v>881.684981684982</v>
      </c>
      <c r="H104" s="307">
        <v>118.13</v>
      </c>
      <c r="I104" s="307">
        <f t="shared" si="19"/>
        <v>-417.87</v>
      </c>
      <c r="J104" s="306">
        <f t="shared" si="20"/>
        <v>-77.9608208955224</v>
      </c>
      <c r="K104" s="330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</row>
    <row r="105" ht="20" customHeight="1" spans="1:21">
      <c r="A105" s="326" t="s">
        <v>139</v>
      </c>
      <c r="B105" s="339"/>
      <c r="C105" s="307"/>
      <c r="D105" s="340"/>
      <c r="E105" s="306"/>
      <c r="F105" s="307">
        <f t="shared" si="17"/>
        <v>0</v>
      </c>
      <c r="G105" s="306"/>
      <c r="H105" s="307"/>
      <c r="I105" s="307">
        <f t="shared" si="19"/>
        <v>0</v>
      </c>
      <c r="J105" s="306"/>
      <c r="K105" s="330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</row>
    <row r="106" s="278" customFormat="1" ht="20" customHeight="1" spans="1:21">
      <c r="A106" s="313" t="s">
        <v>140</v>
      </c>
      <c r="B106" s="307">
        <v>44457</v>
      </c>
      <c r="C106" s="307">
        <v>16138</v>
      </c>
      <c r="D106" s="314">
        <v>16343</v>
      </c>
      <c r="E106" s="306">
        <f>D106/C106*100</f>
        <v>101.270293716694</v>
      </c>
      <c r="F106" s="307">
        <f t="shared" si="17"/>
        <v>-28114</v>
      </c>
      <c r="G106" s="306">
        <f t="shared" si="18"/>
        <v>-63.2386350855883</v>
      </c>
      <c r="H106" s="307">
        <v>16475</v>
      </c>
      <c r="I106" s="307">
        <f t="shared" si="19"/>
        <v>132</v>
      </c>
      <c r="J106" s="306">
        <f t="shared" si="20"/>
        <v>0.807685247506578</v>
      </c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</row>
    <row r="107" s="278" customFormat="1" ht="20" customHeight="1" spans="1:21">
      <c r="A107" s="313" t="s">
        <v>141</v>
      </c>
      <c r="B107" s="325">
        <v>708</v>
      </c>
      <c r="C107" s="307">
        <f>C108+C109</f>
        <v>10685</v>
      </c>
      <c r="D107" s="325">
        <f>D108+D109+D110</f>
        <v>5815</v>
      </c>
      <c r="E107" s="306">
        <f>D107/C107*100</f>
        <v>54.4220870379036</v>
      </c>
      <c r="F107" s="307">
        <f t="shared" si="17"/>
        <v>5107</v>
      </c>
      <c r="G107" s="306">
        <f t="shared" si="18"/>
        <v>721.327683615819</v>
      </c>
      <c r="H107" s="307">
        <f>H108+H109</f>
        <v>10113</v>
      </c>
      <c r="I107" s="307">
        <f t="shared" si="19"/>
        <v>4298</v>
      </c>
      <c r="J107" s="306">
        <f t="shared" si="20"/>
        <v>73.9122957867584</v>
      </c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</row>
    <row r="108" ht="20" customHeight="1" spans="1:21">
      <c r="A108" s="313" t="s">
        <v>142</v>
      </c>
      <c r="B108" s="307">
        <v>391</v>
      </c>
      <c r="C108" s="307">
        <v>10557</v>
      </c>
      <c r="D108" s="314">
        <v>5651</v>
      </c>
      <c r="E108" s="306">
        <f>D108/C108*100</f>
        <v>53.528464525907</v>
      </c>
      <c r="F108" s="307">
        <f t="shared" si="17"/>
        <v>5260</v>
      </c>
      <c r="G108" s="306">
        <f t="shared" si="18"/>
        <v>1345.26854219949</v>
      </c>
      <c r="H108" s="307">
        <v>10000</v>
      </c>
      <c r="I108" s="307">
        <f t="shared" si="19"/>
        <v>4349</v>
      </c>
      <c r="J108" s="306">
        <f t="shared" si="20"/>
        <v>76.9598301185631</v>
      </c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</row>
    <row r="109" ht="20" customHeight="1" spans="1:21">
      <c r="A109" s="313" t="s">
        <v>143</v>
      </c>
      <c r="B109" s="307">
        <v>317</v>
      </c>
      <c r="C109" s="307">
        <v>128</v>
      </c>
      <c r="D109" s="314">
        <v>164</v>
      </c>
      <c r="E109" s="306">
        <f>D109/C109*100</f>
        <v>128.125</v>
      </c>
      <c r="F109" s="307">
        <f t="shared" si="17"/>
        <v>-153</v>
      </c>
      <c r="G109" s="306">
        <f t="shared" si="18"/>
        <v>-48.2649842271293</v>
      </c>
      <c r="H109" s="307">
        <v>113</v>
      </c>
      <c r="I109" s="307">
        <f t="shared" si="19"/>
        <v>-51</v>
      </c>
      <c r="J109" s="306">
        <f t="shared" si="20"/>
        <v>-31.0975609756098</v>
      </c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</row>
    <row r="110" ht="20" customHeight="1" spans="1:21">
      <c r="A110" s="313" t="s">
        <v>144</v>
      </c>
      <c r="B110" s="307"/>
      <c r="C110" s="307"/>
      <c r="D110" s="314"/>
      <c r="E110" s="306"/>
      <c r="F110" s="307">
        <f t="shared" si="17"/>
        <v>0</v>
      </c>
      <c r="G110" s="306"/>
      <c r="H110" s="307"/>
      <c r="I110" s="307">
        <f t="shared" si="19"/>
        <v>0</v>
      </c>
      <c r="J110" s="306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</row>
    <row r="111" s="278" customFormat="1" ht="20" customHeight="1" spans="1:21">
      <c r="A111" s="313" t="s">
        <v>145</v>
      </c>
      <c r="B111" s="307"/>
      <c r="C111" s="307"/>
      <c r="D111" s="314">
        <v>9804</v>
      </c>
      <c r="E111" s="306"/>
      <c r="F111" s="307">
        <f t="shared" si="17"/>
        <v>9804</v>
      </c>
      <c r="G111" s="306"/>
      <c r="H111" s="307"/>
      <c r="I111" s="307">
        <f t="shared" si="19"/>
        <v>-9804</v>
      </c>
      <c r="J111" s="306">
        <f t="shared" si="20"/>
        <v>-100</v>
      </c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</row>
    <row r="112" s="278" customFormat="1" ht="20" customHeight="1" spans="1:21">
      <c r="A112" s="341" t="s">
        <v>146</v>
      </c>
      <c r="B112" s="307">
        <v>17505</v>
      </c>
      <c r="C112" s="307"/>
      <c r="D112" s="314">
        <v>7776</v>
      </c>
      <c r="E112" s="306"/>
      <c r="F112" s="307">
        <f t="shared" si="17"/>
        <v>-9729</v>
      </c>
      <c r="G112" s="306">
        <f t="shared" si="18"/>
        <v>-55.5784061696658</v>
      </c>
      <c r="H112" s="307"/>
      <c r="I112" s="307">
        <f t="shared" si="19"/>
        <v>-7776</v>
      </c>
      <c r="J112" s="306">
        <f t="shared" si="20"/>
        <v>-100</v>
      </c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</row>
    <row r="113" s="277" customFormat="1" ht="20" customHeight="1" spans="1:21">
      <c r="A113" s="342" t="s">
        <v>1082</v>
      </c>
      <c r="B113" s="311">
        <f>B114+B117+B120+B121+B122+B123+B124</f>
        <v>30676</v>
      </c>
      <c r="C113" s="311">
        <f>C114+C117+C120+C121+C122+C123+C124</f>
        <v>4263</v>
      </c>
      <c r="D113" s="311">
        <f>D114+D117+D120+D121+D122+D123+D124</f>
        <v>33450</v>
      </c>
      <c r="E113" s="301">
        <f>D113/C113*100</f>
        <v>784.658691062632</v>
      </c>
      <c r="F113" s="302">
        <f t="shared" si="17"/>
        <v>2774</v>
      </c>
      <c r="G113" s="301">
        <f t="shared" si="18"/>
        <v>9.04289998696049</v>
      </c>
      <c r="H113" s="311">
        <f>H114+H117+H120+H121+H122+H123+H124</f>
        <v>5475</v>
      </c>
      <c r="I113" s="302">
        <f t="shared" si="19"/>
        <v>-27975</v>
      </c>
      <c r="J113" s="301">
        <f t="shared" si="20"/>
        <v>-83.6322869955157</v>
      </c>
      <c r="K113" s="304"/>
      <c r="L113" s="304"/>
      <c r="M113" s="304"/>
      <c r="N113" s="304"/>
      <c r="O113" s="304"/>
      <c r="P113" s="304"/>
      <c r="Q113" s="304"/>
      <c r="R113" s="304"/>
      <c r="S113" s="304"/>
      <c r="T113" s="304"/>
      <c r="U113" s="304"/>
    </row>
    <row r="114" s="278" customFormat="1" ht="20" customHeight="1" spans="1:21">
      <c r="A114" s="324" t="s">
        <v>1083</v>
      </c>
      <c r="B114" s="339">
        <v>5538</v>
      </c>
      <c r="C114" s="339">
        <v>4263</v>
      </c>
      <c r="D114" s="339">
        <f>D115+D116</f>
        <v>5475</v>
      </c>
      <c r="E114" s="306">
        <f>D114/C114*100</f>
        <v>128.430682617875</v>
      </c>
      <c r="F114" s="307">
        <f t="shared" si="17"/>
        <v>-63</v>
      </c>
      <c r="G114" s="306">
        <f t="shared" si="18"/>
        <v>-1.13759479956663</v>
      </c>
      <c r="H114" s="339">
        <f>H115+H116</f>
        <v>5475</v>
      </c>
      <c r="I114" s="307">
        <f t="shared" si="19"/>
        <v>0</v>
      </c>
      <c r="J114" s="306">
        <f t="shared" si="20"/>
        <v>0</v>
      </c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</row>
    <row r="115" s="278" customFormat="1" ht="20" customHeight="1" spans="1:21">
      <c r="A115" s="324" t="s">
        <v>1084</v>
      </c>
      <c r="B115" s="343">
        <v>250</v>
      </c>
      <c r="C115" s="343">
        <v>2639</v>
      </c>
      <c r="D115" s="343">
        <v>280</v>
      </c>
      <c r="E115" s="306">
        <f>D115/C115*100</f>
        <v>10.6100795755968</v>
      </c>
      <c r="F115" s="307">
        <f t="shared" si="17"/>
        <v>30</v>
      </c>
      <c r="G115" s="306">
        <f t="shared" si="18"/>
        <v>12</v>
      </c>
      <c r="H115" s="343">
        <v>245</v>
      </c>
      <c r="I115" s="307">
        <f t="shared" si="19"/>
        <v>-35</v>
      </c>
      <c r="J115" s="306">
        <f t="shared" si="20"/>
        <v>-12.5</v>
      </c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</row>
    <row r="116" s="278" customFormat="1" ht="20" customHeight="1" spans="1:21">
      <c r="A116" s="344" t="s">
        <v>1085</v>
      </c>
      <c r="B116" s="345">
        <f>2046+3242</f>
        <v>5288</v>
      </c>
      <c r="C116" s="345">
        <v>1624</v>
      </c>
      <c r="D116" s="345">
        <v>5195</v>
      </c>
      <c r="E116" s="306">
        <f>D116/C116*100</f>
        <v>319.889162561576</v>
      </c>
      <c r="F116" s="307">
        <f t="shared" si="17"/>
        <v>-93</v>
      </c>
      <c r="G116" s="306">
        <f t="shared" si="18"/>
        <v>-1.75869894099849</v>
      </c>
      <c r="H116" s="345">
        <v>5230</v>
      </c>
      <c r="I116" s="307">
        <f t="shared" si="19"/>
        <v>35</v>
      </c>
      <c r="J116" s="306">
        <f t="shared" si="20"/>
        <v>0.673724735322425</v>
      </c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</row>
    <row r="117" s="278" customFormat="1" ht="20" customHeight="1" spans="1:21">
      <c r="A117" s="324" t="s">
        <v>1086</v>
      </c>
      <c r="B117" s="339"/>
      <c r="C117" s="339"/>
      <c r="D117" s="339"/>
      <c r="E117" s="306"/>
      <c r="F117" s="307">
        <f t="shared" si="17"/>
        <v>0</v>
      </c>
      <c r="G117" s="306"/>
      <c r="H117" s="339"/>
      <c r="I117" s="307">
        <f t="shared" si="19"/>
        <v>0</v>
      </c>
      <c r="J117" s="306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</row>
    <row r="118" s="278" customFormat="1" ht="20" customHeight="1" spans="1:21">
      <c r="A118" s="324" t="s">
        <v>1087</v>
      </c>
      <c r="B118" s="346"/>
      <c r="C118" s="346"/>
      <c r="D118" s="346"/>
      <c r="E118" s="306"/>
      <c r="F118" s="307">
        <f t="shared" si="17"/>
        <v>0</v>
      </c>
      <c r="G118" s="306"/>
      <c r="H118" s="346"/>
      <c r="I118" s="307">
        <f t="shared" si="19"/>
        <v>0</v>
      </c>
      <c r="J118" s="306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</row>
    <row r="119" s="278" customFormat="1" ht="20" customHeight="1" spans="1:21">
      <c r="A119" s="324" t="s">
        <v>1088</v>
      </c>
      <c r="B119" s="346"/>
      <c r="C119" s="346"/>
      <c r="D119" s="346"/>
      <c r="E119" s="306"/>
      <c r="F119" s="307">
        <f t="shared" si="17"/>
        <v>0</v>
      </c>
      <c r="G119" s="306"/>
      <c r="H119" s="346"/>
      <c r="I119" s="307">
        <f t="shared" si="19"/>
        <v>0</v>
      </c>
      <c r="J119" s="306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</row>
    <row r="120" s="278" customFormat="1" ht="20" customHeight="1" spans="1:21">
      <c r="A120" s="329" t="s">
        <v>1089</v>
      </c>
      <c r="B120" s="346"/>
      <c r="C120" s="343"/>
      <c r="D120" s="346"/>
      <c r="E120" s="306"/>
      <c r="F120" s="307">
        <f t="shared" si="17"/>
        <v>0</v>
      </c>
      <c r="G120" s="306"/>
      <c r="H120" s="343"/>
      <c r="I120" s="307">
        <f t="shared" si="19"/>
        <v>0</v>
      </c>
      <c r="J120" s="306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</row>
    <row r="121" s="278" customFormat="1" ht="20" customHeight="1" spans="1:21">
      <c r="A121" s="329" t="s">
        <v>1090</v>
      </c>
      <c r="B121" s="346">
        <v>9000</v>
      </c>
      <c r="C121" s="343"/>
      <c r="D121" s="346">
        <v>11500</v>
      </c>
      <c r="E121" s="306"/>
      <c r="F121" s="307">
        <f t="shared" si="17"/>
        <v>2500</v>
      </c>
      <c r="G121" s="306">
        <f t="shared" si="18"/>
        <v>27.7777777777778</v>
      </c>
      <c r="H121" s="343"/>
      <c r="I121" s="307">
        <f t="shared" si="19"/>
        <v>-11500</v>
      </c>
      <c r="J121" s="306">
        <f t="shared" si="20"/>
        <v>-100</v>
      </c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</row>
    <row r="122" s="278" customFormat="1" ht="20" customHeight="1" spans="1:21">
      <c r="A122" s="329" t="s">
        <v>1091</v>
      </c>
      <c r="B122" s="346"/>
      <c r="C122" s="343"/>
      <c r="D122" s="346"/>
      <c r="E122" s="306"/>
      <c r="F122" s="307">
        <f t="shared" si="17"/>
        <v>0</v>
      </c>
      <c r="G122" s="306"/>
      <c r="H122" s="343"/>
      <c r="I122" s="307">
        <f t="shared" si="19"/>
        <v>0</v>
      </c>
      <c r="J122" s="306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</row>
    <row r="123" s="278" customFormat="1" ht="20" customHeight="1" spans="1:21">
      <c r="A123" s="329" t="s">
        <v>1092</v>
      </c>
      <c r="B123" s="346"/>
      <c r="C123" s="343"/>
      <c r="D123" s="346"/>
      <c r="E123" s="306"/>
      <c r="F123" s="307">
        <f t="shared" si="17"/>
        <v>0</v>
      </c>
      <c r="G123" s="306"/>
      <c r="H123" s="343"/>
      <c r="I123" s="307">
        <f t="shared" si="19"/>
        <v>0</v>
      </c>
      <c r="J123" s="306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</row>
    <row r="124" s="278" customFormat="1" ht="20" customHeight="1" spans="1:21">
      <c r="A124" s="329" t="s">
        <v>1093</v>
      </c>
      <c r="B124" s="347">
        <v>16138</v>
      </c>
      <c r="C124" s="346">
        <f>SUM(C125:C126)</f>
        <v>0</v>
      </c>
      <c r="D124" s="347">
        <f>D125+D126</f>
        <v>16475</v>
      </c>
      <c r="E124" s="306"/>
      <c r="F124" s="307">
        <f t="shared" si="17"/>
        <v>337</v>
      </c>
      <c r="G124" s="306">
        <f t="shared" si="18"/>
        <v>2.08823893914983</v>
      </c>
      <c r="H124" s="346">
        <f>SUM(H125:H126)</f>
        <v>0</v>
      </c>
      <c r="I124" s="307">
        <f t="shared" si="19"/>
        <v>-16475</v>
      </c>
      <c r="J124" s="306">
        <f t="shared" si="20"/>
        <v>-100</v>
      </c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</row>
    <row r="125" s="278" customFormat="1" ht="20" customHeight="1" spans="1:21">
      <c r="A125" s="329" t="s">
        <v>1094</v>
      </c>
      <c r="B125" s="346">
        <v>16138</v>
      </c>
      <c r="C125" s="343"/>
      <c r="D125" s="346">
        <v>16475</v>
      </c>
      <c r="E125" s="306"/>
      <c r="F125" s="307">
        <f t="shared" si="17"/>
        <v>337</v>
      </c>
      <c r="G125" s="306">
        <f t="shared" si="18"/>
        <v>2.08823893914983</v>
      </c>
      <c r="H125" s="343"/>
      <c r="I125" s="307">
        <f t="shared" si="19"/>
        <v>-16475</v>
      </c>
      <c r="J125" s="306">
        <f t="shared" si="20"/>
        <v>-100</v>
      </c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</row>
    <row r="126" s="278" customFormat="1" ht="20" customHeight="1" spans="1:21">
      <c r="A126" s="329" t="s">
        <v>1095</v>
      </c>
      <c r="B126" s="325"/>
      <c r="C126" s="325"/>
      <c r="D126" s="325"/>
      <c r="E126" s="306"/>
      <c r="F126" s="307">
        <f t="shared" si="17"/>
        <v>0</v>
      </c>
      <c r="G126" s="306"/>
      <c r="H126" s="325"/>
      <c r="I126" s="307">
        <f t="shared" si="19"/>
        <v>0</v>
      </c>
      <c r="J126" s="306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</row>
    <row r="127" spans="1:21">
      <c r="A127" s="348"/>
      <c r="B127" s="349"/>
      <c r="C127" s="284"/>
      <c r="D127" s="284"/>
      <c r="E127" s="285"/>
      <c r="F127" s="286"/>
      <c r="G127" s="285"/>
      <c r="H127" s="284"/>
      <c r="I127" s="350"/>
      <c r="J127" s="285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</row>
    <row r="128" spans="1:21">
      <c r="A128" s="351"/>
      <c r="B128" s="349"/>
      <c r="C128" s="284"/>
      <c r="D128" s="284"/>
      <c r="E128" s="285"/>
      <c r="F128" s="286"/>
      <c r="G128" s="285"/>
      <c r="H128" s="284"/>
      <c r="I128" s="350"/>
      <c r="J128" s="285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</row>
    <row r="129" spans="1:21">
      <c r="A129" s="351"/>
      <c r="B129" s="349"/>
      <c r="C129" s="284"/>
      <c r="D129" s="284"/>
      <c r="E129" s="285"/>
      <c r="F129" s="286"/>
      <c r="G129" s="285"/>
      <c r="H129" s="284"/>
      <c r="I129" s="350"/>
      <c r="J129" s="285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</row>
    <row r="130" spans="1:21">
      <c r="A130" s="351"/>
      <c r="B130" s="349"/>
      <c r="C130" s="284"/>
      <c r="D130" s="284"/>
      <c r="E130" s="285"/>
      <c r="F130" s="286"/>
      <c r="G130" s="285"/>
      <c r="H130" s="284"/>
      <c r="I130" s="350"/>
      <c r="J130" s="285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</row>
    <row r="131" spans="1:21">
      <c r="A131" s="351"/>
      <c r="B131" s="349"/>
      <c r="C131" s="284"/>
      <c r="D131" s="284"/>
      <c r="E131" s="285"/>
      <c r="F131" s="286"/>
      <c r="G131" s="285"/>
      <c r="H131" s="284"/>
      <c r="I131" s="350"/>
      <c r="J131" s="285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</row>
    <row r="132" spans="1:21">
      <c r="A132" s="351"/>
      <c r="B132" s="349"/>
      <c r="C132" s="284"/>
      <c r="D132" s="284"/>
      <c r="E132" s="285"/>
      <c r="F132" s="286"/>
      <c r="G132" s="285"/>
      <c r="H132" s="284"/>
      <c r="I132" s="350"/>
      <c r="J132" s="285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</row>
    <row r="133" spans="1:21">
      <c r="A133" s="351"/>
      <c r="B133" s="349"/>
      <c r="C133" s="284"/>
      <c r="D133" s="284"/>
      <c r="E133" s="285"/>
      <c r="F133" s="286"/>
      <c r="G133" s="285"/>
      <c r="H133" s="284"/>
      <c r="I133" s="350"/>
      <c r="J133" s="285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</row>
    <row r="134" spans="1:21">
      <c r="A134" s="351"/>
      <c r="B134" s="349"/>
      <c r="C134" s="284"/>
      <c r="D134" s="284"/>
      <c r="E134" s="285"/>
      <c r="F134" s="286"/>
      <c r="G134" s="285"/>
      <c r="H134" s="284"/>
      <c r="I134" s="350"/>
      <c r="J134" s="285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</row>
    <row r="135" spans="1:21">
      <c r="A135" s="351"/>
      <c r="B135" s="349"/>
      <c r="C135" s="284"/>
      <c r="D135" s="284"/>
      <c r="E135" s="285"/>
      <c r="F135" s="286"/>
      <c r="G135" s="285"/>
      <c r="H135" s="284"/>
      <c r="I135" s="350"/>
      <c r="J135" s="285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</row>
    <row r="136" spans="1:21">
      <c r="A136" s="351"/>
      <c r="B136" s="349"/>
      <c r="C136" s="284"/>
      <c r="D136" s="284"/>
      <c r="E136" s="285"/>
      <c r="F136" s="286"/>
      <c r="G136" s="285"/>
      <c r="H136" s="284"/>
      <c r="I136" s="350"/>
      <c r="J136" s="285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</row>
    <row r="137" spans="1:21">
      <c r="A137" s="351"/>
      <c r="B137" s="349"/>
      <c r="C137" s="284"/>
      <c r="D137" s="284"/>
      <c r="E137" s="285"/>
      <c r="F137" s="286"/>
      <c r="G137" s="285"/>
      <c r="H137" s="284"/>
      <c r="I137" s="350"/>
      <c r="J137" s="285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</row>
    <row r="138" spans="1:21">
      <c r="A138" s="352"/>
      <c r="B138" s="284"/>
      <c r="C138" s="284"/>
      <c r="D138" s="284"/>
      <c r="E138" s="285"/>
      <c r="F138" s="286"/>
      <c r="G138" s="285"/>
      <c r="H138" s="284"/>
      <c r="I138" s="286"/>
      <c r="J138" s="285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</row>
    <row r="139" spans="1:21">
      <c r="A139" s="352"/>
      <c r="B139" s="284"/>
      <c r="C139" s="284"/>
      <c r="D139" s="284"/>
      <c r="E139" s="285"/>
      <c r="F139" s="286"/>
      <c r="G139" s="285"/>
      <c r="H139" s="284"/>
      <c r="I139" s="286"/>
      <c r="J139" s="285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</row>
    <row r="140" spans="1:21">
      <c r="A140" s="352"/>
      <c r="B140" s="284"/>
      <c r="C140" s="284"/>
      <c r="D140" s="284"/>
      <c r="E140" s="285"/>
      <c r="F140" s="286"/>
      <c r="G140" s="285"/>
      <c r="H140" s="284"/>
      <c r="I140" s="286"/>
      <c r="J140" s="285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</row>
    <row r="141" spans="1:21">
      <c r="A141" s="352"/>
      <c r="B141" s="284"/>
      <c r="C141" s="284"/>
      <c r="D141" s="284"/>
      <c r="E141" s="285"/>
      <c r="F141" s="286"/>
      <c r="G141" s="285"/>
      <c r="H141" s="284"/>
      <c r="I141" s="286"/>
      <c r="J141" s="285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</row>
    <row r="142" spans="1:21">
      <c r="A142" s="352"/>
      <c r="B142" s="284"/>
      <c r="C142" s="284"/>
      <c r="D142" s="284"/>
      <c r="E142" s="285"/>
      <c r="F142" s="286"/>
      <c r="G142" s="285"/>
      <c r="H142" s="284"/>
      <c r="I142" s="286"/>
      <c r="J142" s="285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</row>
    <row r="143" spans="1:21">
      <c r="A143" s="352"/>
      <c r="B143" s="284"/>
      <c r="C143" s="284"/>
      <c r="D143" s="284"/>
      <c r="E143" s="285"/>
      <c r="F143" s="286"/>
      <c r="G143" s="285"/>
      <c r="H143" s="284"/>
      <c r="I143" s="286"/>
      <c r="J143" s="285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</row>
    <row r="144" spans="1:21">
      <c r="A144" s="352"/>
      <c r="B144" s="284"/>
      <c r="C144" s="284"/>
      <c r="D144" s="284"/>
      <c r="E144" s="285"/>
      <c r="F144" s="286"/>
      <c r="G144" s="285"/>
      <c r="H144" s="284"/>
      <c r="I144" s="286"/>
      <c r="J144" s="285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</row>
    <row r="145" spans="1:21">
      <c r="A145" s="352"/>
      <c r="B145" s="284"/>
      <c r="C145" s="284"/>
      <c r="D145" s="284"/>
      <c r="E145" s="285"/>
      <c r="F145" s="286"/>
      <c r="G145" s="285"/>
      <c r="H145" s="284"/>
      <c r="I145" s="286"/>
      <c r="J145" s="285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</row>
    <row r="146" spans="1:21">
      <c r="A146" s="352"/>
      <c r="B146" s="284"/>
      <c r="C146" s="284"/>
      <c r="D146" s="284"/>
      <c r="E146" s="285"/>
      <c r="F146" s="286"/>
      <c r="G146" s="285"/>
      <c r="H146" s="284"/>
      <c r="I146" s="286"/>
      <c r="J146" s="285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</row>
    <row r="147" spans="1:21">
      <c r="A147" s="352"/>
      <c r="B147" s="284"/>
      <c r="C147" s="284"/>
      <c r="D147" s="284"/>
      <c r="E147" s="285"/>
      <c r="F147" s="286"/>
      <c r="G147" s="285"/>
      <c r="H147" s="284"/>
      <c r="I147" s="286"/>
      <c r="J147" s="285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</row>
    <row r="148" spans="1:21">
      <c r="A148" s="352"/>
      <c r="B148" s="284"/>
      <c r="C148" s="284"/>
      <c r="D148" s="284"/>
      <c r="E148" s="285"/>
      <c r="F148" s="286"/>
      <c r="G148" s="285"/>
      <c r="H148" s="284"/>
      <c r="I148" s="286"/>
      <c r="J148" s="285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</row>
    <row r="149" spans="1:21">
      <c r="A149" s="352"/>
      <c r="B149" s="284"/>
      <c r="C149" s="284"/>
      <c r="D149" s="284"/>
      <c r="E149" s="285"/>
      <c r="F149" s="286"/>
      <c r="G149" s="285"/>
      <c r="H149" s="284"/>
      <c r="I149" s="286"/>
      <c r="J149" s="285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</row>
    <row r="150" spans="1:21">
      <c r="A150" s="352"/>
      <c r="B150" s="284"/>
      <c r="C150" s="284"/>
      <c r="D150" s="284"/>
      <c r="E150" s="285"/>
      <c r="F150" s="286"/>
      <c r="G150" s="285"/>
      <c r="H150" s="284"/>
      <c r="I150" s="286"/>
      <c r="J150" s="285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</row>
    <row r="151" spans="1:21">
      <c r="A151" s="352"/>
      <c r="B151" s="284"/>
      <c r="C151" s="284"/>
      <c r="D151" s="284"/>
      <c r="E151" s="285"/>
      <c r="F151" s="286"/>
      <c r="G151" s="285"/>
      <c r="H151" s="284"/>
      <c r="I151" s="286"/>
      <c r="J151" s="285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</row>
    <row r="152" spans="1:21">
      <c r="A152" s="352"/>
      <c r="B152" s="284"/>
      <c r="C152" s="284"/>
      <c r="D152" s="284"/>
      <c r="E152" s="285"/>
      <c r="F152" s="286"/>
      <c r="G152" s="285"/>
      <c r="H152" s="284"/>
      <c r="I152" s="286"/>
      <c r="J152" s="285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</row>
    <row r="153" spans="1:21">
      <c r="A153" s="352"/>
      <c r="B153" s="284"/>
      <c r="C153" s="284"/>
      <c r="D153" s="284"/>
      <c r="E153" s="285"/>
      <c r="F153" s="286"/>
      <c r="G153" s="285"/>
      <c r="H153" s="284"/>
      <c r="I153" s="286"/>
      <c r="J153" s="285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</row>
    <row r="154" spans="1:21">
      <c r="A154" s="352"/>
      <c r="B154" s="284"/>
      <c r="C154" s="284"/>
      <c r="D154" s="284"/>
      <c r="E154" s="285"/>
      <c r="F154" s="286"/>
      <c r="G154" s="285"/>
      <c r="H154" s="284"/>
      <c r="I154" s="286"/>
      <c r="J154" s="285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</row>
    <row r="155" spans="1:21">
      <c r="A155" s="352"/>
      <c r="B155" s="284"/>
      <c r="C155" s="284"/>
      <c r="D155" s="284"/>
      <c r="E155" s="285"/>
      <c r="F155" s="286"/>
      <c r="G155" s="285"/>
      <c r="H155" s="284"/>
      <c r="I155" s="286"/>
      <c r="J155" s="285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</row>
    <row r="156" spans="1:21">
      <c r="A156" s="352"/>
      <c r="B156" s="284"/>
      <c r="C156" s="284"/>
      <c r="D156" s="284"/>
      <c r="E156" s="285"/>
      <c r="F156" s="286"/>
      <c r="G156" s="285"/>
      <c r="H156" s="284"/>
      <c r="I156" s="286"/>
      <c r="J156" s="285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</row>
    <row r="157" spans="1:21">
      <c r="A157" s="352"/>
      <c r="B157" s="284"/>
      <c r="C157" s="284"/>
      <c r="D157" s="284"/>
      <c r="E157" s="285"/>
      <c r="F157" s="286"/>
      <c r="G157" s="285"/>
      <c r="H157" s="284"/>
      <c r="I157" s="286"/>
      <c r="J157" s="285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</row>
    <row r="158" spans="1:21">
      <c r="A158" s="352"/>
      <c r="B158" s="284"/>
      <c r="C158" s="284"/>
      <c r="D158" s="284"/>
      <c r="E158" s="285"/>
      <c r="F158" s="286"/>
      <c r="G158" s="285"/>
      <c r="H158" s="284"/>
      <c r="I158" s="286"/>
      <c r="J158" s="285"/>
      <c r="K158" s="287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</row>
    <row r="159" spans="1:21">
      <c r="A159" s="352"/>
      <c r="B159" s="284"/>
      <c r="C159" s="284"/>
      <c r="D159" s="284"/>
      <c r="E159" s="285"/>
      <c r="F159" s="286"/>
      <c r="G159" s="285"/>
      <c r="H159" s="284"/>
      <c r="I159" s="286"/>
      <c r="J159" s="285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</row>
    <row r="160" spans="1:21">
      <c r="A160" s="352"/>
      <c r="B160" s="284"/>
      <c r="C160" s="284"/>
      <c r="D160" s="284"/>
      <c r="E160" s="285"/>
      <c r="F160" s="286"/>
      <c r="G160" s="285"/>
      <c r="H160" s="284"/>
      <c r="I160" s="286"/>
      <c r="J160" s="285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</row>
    <row r="161" spans="1:21">
      <c r="A161" s="352"/>
      <c r="B161" s="284"/>
      <c r="C161" s="284"/>
      <c r="D161" s="284"/>
      <c r="E161" s="285"/>
      <c r="F161" s="286"/>
      <c r="G161" s="285"/>
      <c r="H161" s="284"/>
      <c r="I161" s="286"/>
      <c r="J161" s="285"/>
      <c r="K161" s="287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</row>
    <row r="162" spans="1:21">
      <c r="A162" s="352"/>
      <c r="B162" s="284"/>
      <c r="C162" s="284"/>
      <c r="D162" s="284"/>
      <c r="E162" s="285"/>
      <c r="F162" s="286"/>
      <c r="G162" s="285"/>
      <c r="H162" s="284"/>
      <c r="I162" s="286"/>
      <c r="J162" s="285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</row>
    <row r="163" spans="1:21">
      <c r="A163" s="352"/>
      <c r="B163" s="284"/>
      <c r="C163" s="284"/>
      <c r="D163" s="284"/>
      <c r="E163" s="285"/>
      <c r="F163" s="286"/>
      <c r="G163" s="285"/>
      <c r="H163" s="284"/>
      <c r="I163" s="286"/>
      <c r="J163" s="285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</row>
    <row r="164" spans="1:21">
      <c r="A164" s="352"/>
      <c r="B164" s="284"/>
      <c r="C164" s="284"/>
      <c r="D164" s="284"/>
      <c r="E164" s="285"/>
      <c r="F164" s="286"/>
      <c r="G164" s="285"/>
      <c r="H164" s="284"/>
      <c r="I164" s="286"/>
      <c r="J164" s="285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</row>
    <row r="165" spans="1:21">
      <c r="A165" s="352"/>
      <c r="B165" s="284"/>
      <c r="C165" s="284"/>
      <c r="D165" s="284"/>
      <c r="E165" s="285"/>
      <c r="F165" s="286"/>
      <c r="G165" s="285"/>
      <c r="H165" s="284"/>
      <c r="I165" s="286"/>
      <c r="J165" s="285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</row>
    <row r="166" spans="1:21">
      <c r="A166" s="352"/>
      <c r="B166" s="284"/>
      <c r="C166" s="284"/>
      <c r="D166" s="284"/>
      <c r="E166" s="285"/>
      <c r="F166" s="286"/>
      <c r="G166" s="285"/>
      <c r="H166" s="284"/>
      <c r="I166" s="286"/>
      <c r="J166" s="285"/>
      <c r="K166" s="287"/>
      <c r="L166" s="287"/>
      <c r="M166" s="287"/>
      <c r="N166" s="287"/>
      <c r="O166" s="287"/>
      <c r="P166" s="287"/>
      <c r="Q166" s="287"/>
      <c r="R166" s="287"/>
      <c r="S166" s="287"/>
      <c r="T166" s="287"/>
      <c r="U166" s="287"/>
    </row>
    <row r="167" spans="1:21">
      <c r="A167" s="352"/>
      <c r="B167" s="284"/>
      <c r="C167" s="284"/>
      <c r="D167" s="284"/>
      <c r="E167" s="285"/>
      <c r="F167" s="286"/>
      <c r="G167" s="285"/>
      <c r="H167" s="284"/>
      <c r="I167" s="286"/>
      <c r="J167" s="285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</row>
    <row r="168" spans="1:21">
      <c r="A168" s="352"/>
      <c r="B168" s="284"/>
      <c r="C168" s="284"/>
      <c r="D168" s="284"/>
      <c r="E168" s="285"/>
      <c r="F168" s="286"/>
      <c r="G168" s="285"/>
      <c r="H168" s="284"/>
      <c r="I168" s="286"/>
      <c r="J168" s="285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</row>
    <row r="169" spans="1:21">
      <c r="A169" s="352"/>
      <c r="B169" s="284"/>
      <c r="C169" s="284"/>
      <c r="D169" s="284"/>
      <c r="E169" s="285"/>
      <c r="F169" s="286"/>
      <c r="G169" s="285"/>
      <c r="H169" s="284"/>
      <c r="I169" s="286"/>
      <c r="J169" s="285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</row>
    <row r="170" spans="1:21">
      <c r="A170" s="352"/>
      <c r="B170" s="284"/>
      <c r="C170" s="284"/>
      <c r="D170" s="284"/>
      <c r="E170" s="285"/>
      <c r="F170" s="286"/>
      <c r="G170" s="285"/>
      <c r="H170" s="284"/>
      <c r="I170" s="286"/>
      <c r="J170" s="285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</row>
    <row r="171" spans="1:21">
      <c r="A171" s="352"/>
      <c r="B171" s="284"/>
      <c r="C171" s="284"/>
      <c r="D171" s="284"/>
      <c r="E171" s="285"/>
      <c r="F171" s="286"/>
      <c r="G171" s="285"/>
      <c r="H171" s="284"/>
      <c r="I171" s="286"/>
      <c r="J171" s="285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</row>
    <row r="172" spans="1:21">
      <c r="A172" s="352"/>
      <c r="B172" s="284"/>
      <c r="C172" s="284"/>
      <c r="D172" s="284"/>
      <c r="E172" s="285"/>
      <c r="F172" s="286"/>
      <c r="G172" s="285"/>
      <c r="H172" s="284"/>
      <c r="I172" s="286"/>
      <c r="J172" s="285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</row>
    <row r="173" spans="1:21">
      <c r="A173" s="352"/>
      <c r="B173" s="284"/>
      <c r="C173" s="284"/>
      <c r="D173" s="284"/>
      <c r="E173" s="285"/>
      <c r="F173" s="286"/>
      <c r="G173" s="285"/>
      <c r="H173" s="284"/>
      <c r="I173" s="286"/>
      <c r="J173" s="285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</row>
    <row r="174" spans="1:21">
      <c r="A174" s="352"/>
      <c r="B174" s="284"/>
      <c r="C174" s="284"/>
      <c r="D174" s="284"/>
      <c r="E174" s="285"/>
      <c r="F174" s="286"/>
      <c r="G174" s="285"/>
      <c r="H174" s="284"/>
      <c r="I174" s="286"/>
      <c r="J174" s="285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</row>
    <row r="175" spans="1:21">
      <c r="A175" s="352"/>
      <c r="B175" s="284"/>
      <c r="C175" s="284"/>
      <c r="D175" s="284"/>
      <c r="E175" s="285"/>
      <c r="F175" s="286"/>
      <c r="G175" s="285"/>
      <c r="H175" s="284"/>
      <c r="I175" s="286"/>
      <c r="J175" s="285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</row>
    <row r="176" spans="1:21">
      <c r="A176" s="352"/>
      <c r="B176" s="284"/>
      <c r="C176" s="284"/>
      <c r="D176" s="284"/>
      <c r="E176" s="285"/>
      <c r="F176" s="286"/>
      <c r="G176" s="285"/>
      <c r="H176" s="284"/>
      <c r="I176" s="286"/>
      <c r="J176" s="285"/>
      <c r="K176" s="287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</row>
    <row r="177" spans="1:21">
      <c r="A177" s="348"/>
      <c r="B177" s="349"/>
      <c r="C177" s="284"/>
      <c r="D177" s="284"/>
      <c r="E177" s="285"/>
      <c r="F177" s="286"/>
      <c r="G177" s="285"/>
      <c r="H177" s="284"/>
      <c r="I177" s="286"/>
      <c r="J177" s="285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</row>
  </sheetData>
  <mergeCells count="12">
    <mergeCell ref="A1:J1"/>
    <mergeCell ref="I2:J2"/>
    <mergeCell ref="C3:G3"/>
    <mergeCell ref="H3:J3"/>
    <mergeCell ref="F4:G4"/>
    <mergeCell ref="I4:J4"/>
    <mergeCell ref="A3:A5"/>
    <mergeCell ref="B4:B5"/>
    <mergeCell ref="C4:C5"/>
    <mergeCell ref="D4:D5"/>
    <mergeCell ref="E4:E5"/>
    <mergeCell ref="H4:H5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showZeros="0" zoomScaleSheetLayoutView="60" workbookViewId="0">
      <selection activeCell="D24" sqref="D24"/>
    </sheetView>
  </sheetViews>
  <sheetFormatPr defaultColWidth="9" defaultRowHeight="12" outlineLevelRow="3"/>
  <cols>
    <col min="1" max="1" width="26.75" style="133" customWidth="1"/>
    <col min="2" max="4" width="23" style="133" customWidth="1"/>
    <col min="5" max="5" width="23" style="134" customWidth="1"/>
    <col min="6" max="16384" width="9" style="133"/>
  </cols>
  <sheetData>
    <row r="1" ht="28" customHeight="1" spans="1:256">
      <c r="A1" s="135" t="s">
        <v>1216</v>
      </c>
      <c r="B1" s="135"/>
      <c r="C1" s="135"/>
      <c r="D1" s="135"/>
      <c r="E1" s="136"/>
    </row>
    <row r="2" ht="14.25" spans="1:256">
      <c r="A2" s="132"/>
      <c r="B2" s="132"/>
      <c r="C2" s="132"/>
      <c r="D2" s="132"/>
      <c r="E2" s="137" t="s">
        <v>1217</v>
      </c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</row>
    <row r="3" s="132" customFormat="1" ht="45" customHeight="1" spans="1:256">
      <c r="A3" s="138" t="s">
        <v>1218</v>
      </c>
      <c r="B3" s="138" t="s">
        <v>1219</v>
      </c>
      <c r="C3" s="138" t="s">
        <v>1220</v>
      </c>
      <c r="D3" s="138" t="s">
        <v>1221</v>
      </c>
      <c r="E3" s="139" t="s">
        <v>1222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</row>
    <row r="4" s="274" customFormat="1" ht="45" customHeight="1" spans="1:256">
      <c r="A4" s="141" t="s">
        <v>1223</v>
      </c>
      <c r="B4" s="142">
        <v>95764</v>
      </c>
      <c r="C4" s="142">
        <v>105737</v>
      </c>
      <c r="D4" s="142">
        <v>105800</v>
      </c>
      <c r="E4" s="143">
        <f>C4/D4</f>
        <v>0.999404536862004</v>
      </c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5"/>
      <c r="DF4" s="275"/>
      <c r="DG4" s="275"/>
      <c r="DH4" s="275"/>
      <c r="DI4" s="275"/>
      <c r="DJ4" s="275"/>
      <c r="DK4" s="275"/>
      <c r="DL4" s="275"/>
      <c r="DM4" s="275"/>
      <c r="DN4" s="275"/>
      <c r="DO4" s="275"/>
      <c r="DP4" s="275"/>
      <c r="DQ4" s="275"/>
      <c r="DR4" s="275"/>
      <c r="DS4" s="275"/>
      <c r="DT4" s="275"/>
      <c r="DU4" s="275"/>
      <c r="DV4" s="275"/>
      <c r="DW4" s="275"/>
      <c r="DX4" s="275"/>
      <c r="DY4" s="275"/>
      <c r="DZ4" s="275"/>
      <c r="EA4" s="275"/>
      <c r="EB4" s="275"/>
      <c r="EC4" s="275"/>
      <c r="ED4" s="275"/>
      <c r="EE4" s="275"/>
      <c r="EF4" s="275"/>
      <c r="EG4" s="275"/>
      <c r="EH4" s="275"/>
      <c r="EI4" s="275"/>
      <c r="EJ4" s="275"/>
      <c r="EK4" s="275"/>
      <c r="EL4" s="275"/>
      <c r="EM4" s="275"/>
      <c r="EN4" s="275"/>
      <c r="EO4" s="275"/>
      <c r="EP4" s="275"/>
      <c r="EQ4" s="275"/>
      <c r="ER4" s="275"/>
      <c r="ES4" s="275"/>
      <c r="ET4" s="275"/>
      <c r="EU4" s="275"/>
      <c r="EV4" s="275"/>
      <c r="EW4" s="275"/>
      <c r="EX4" s="275"/>
      <c r="EY4" s="275"/>
      <c r="EZ4" s="275"/>
      <c r="FA4" s="275"/>
      <c r="FB4" s="275"/>
      <c r="FC4" s="275"/>
      <c r="FD4" s="275"/>
      <c r="FE4" s="275"/>
      <c r="FF4" s="275"/>
      <c r="FG4" s="275"/>
      <c r="FH4" s="275"/>
      <c r="FI4" s="275"/>
      <c r="FJ4" s="275"/>
      <c r="FK4" s="275"/>
      <c r="FL4" s="275"/>
      <c r="FM4" s="275"/>
      <c r="FN4" s="275"/>
      <c r="FO4" s="275"/>
      <c r="FP4" s="275"/>
      <c r="FQ4" s="275"/>
      <c r="FR4" s="275"/>
      <c r="FS4" s="275"/>
      <c r="FT4" s="275"/>
      <c r="FU4" s="275"/>
      <c r="FV4" s="275"/>
      <c r="FW4" s="275"/>
      <c r="FX4" s="275"/>
      <c r="FY4" s="275"/>
      <c r="FZ4" s="275"/>
      <c r="GA4" s="275"/>
      <c r="GB4" s="275"/>
      <c r="GC4" s="275"/>
      <c r="GD4" s="275"/>
      <c r="GE4" s="275"/>
      <c r="GF4" s="275"/>
      <c r="GG4" s="275"/>
      <c r="GH4" s="275"/>
      <c r="GI4" s="275"/>
      <c r="GJ4" s="275"/>
      <c r="GK4" s="275"/>
      <c r="GL4" s="275"/>
      <c r="GM4" s="275"/>
      <c r="GN4" s="275"/>
      <c r="GO4" s="275"/>
      <c r="GP4" s="275"/>
      <c r="GQ4" s="275"/>
      <c r="GR4" s="275"/>
      <c r="GS4" s="275"/>
      <c r="GT4" s="275"/>
      <c r="GU4" s="275"/>
      <c r="GV4" s="275"/>
      <c r="GW4" s="275"/>
      <c r="GX4" s="275"/>
      <c r="GY4" s="275"/>
      <c r="GZ4" s="275"/>
      <c r="HA4" s="275"/>
      <c r="HB4" s="275"/>
      <c r="HC4" s="275"/>
      <c r="HD4" s="275"/>
      <c r="HE4" s="275"/>
      <c r="HF4" s="275"/>
      <c r="HG4" s="275"/>
      <c r="HH4" s="275"/>
      <c r="HI4" s="275"/>
      <c r="HJ4" s="275"/>
      <c r="HK4" s="275"/>
      <c r="HL4" s="275"/>
      <c r="HM4" s="275"/>
      <c r="HN4" s="275"/>
      <c r="HO4" s="275"/>
      <c r="HP4" s="275"/>
      <c r="HQ4" s="275"/>
      <c r="HR4" s="275"/>
      <c r="HS4" s="275"/>
      <c r="HT4" s="275"/>
      <c r="HU4" s="275"/>
      <c r="HV4" s="275"/>
      <c r="HW4" s="275"/>
      <c r="HX4" s="275"/>
      <c r="HY4" s="275"/>
      <c r="HZ4" s="275"/>
      <c r="IA4" s="275"/>
      <c r="IB4" s="275"/>
      <c r="IC4" s="275"/>
      <c r="ID4" s="275"/>
      <c r="IE4" s="275"/>
      <c r="IF4" s="275"/>
      <c r="IG4" s="275"/>
      <c r="IH4" s="275"/>
      <c r="II4" s="275"/>
      <c r="IJ4" s="275"/>
      <c r="IK4" s="275"/>
      <c r="IL4" s="275"/>
      <c r="IM4" s="275"/>
      <c r="IN4" s="275"/>
      <c r="IO4" s="275"/>
      <c r="IP4" s="275"/>
      <c r="IQ4" s="275"/>
      <c r="IR4" s="275"/>
      <c r="IS4" s="275"/>
      <c r="IT4" s="275"/>
      <c r="IU4" s="275"/>
      <c r="IV4" s="275"/>
    </row>
  </sheetData>
  <mergeCells count="1">
    <mergeCell ref="A1:E1"/>
  </mergeCells>
  <pageMargins left="0.71" right="0.71" top="0.75" bottom="0.75" header="0.31" footer="0.31"/>
  <pageSetup paperSize="9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Zeros="0" zoomScaleSheetLayoutView="60" workbookViewId="0">
      <pane xSplit="2" ySplit="5" topLeftCell="C16" activePane="bottomRight" state="frozen"/>
      <selection/>
      <selection pane="topRight"/>
      <selection pane="bottomLeft"/>
      <selection pane="bottomRight" activeCell="H16" sqref="H16"/>
    </sheetView>
  </sheetViews>
  <sheetFormatPr defaultColWidth="9" defaultRowHeight="14.25"/>
  <cols>
    <col min="1" max="1" width="36.75" customWidth="1"/>
    <col min="2" max="2" width="13.625" style="261" customWidth="1"/>
    <col min="3" max="4" width="12.75" style="4" customWidth="1"/>
    <col min="5" max="5" width="11.375" style="145" customWidth="1"/>
    <col min="6" max="6" width="11.75" style="146" customWidth="1"/>
    <col min="7" max="7" width="9" style="145"/>
    <col min="8" max="8" width="12.125" style="4" customWidth="1"/>
    <col min="9" max="9" width="11.25" style="4" customWidth="1"/>
    <col min="10" max="10" width="9.375" style="145"/>
  </cols>
  <sheetData>
    <row r="1" ht="24" spans="1:14">
      <c r="A1" s="147" t="s">
        <v>1224</v>
      </c>
      <c r="B1" s="148"/>
      <c r="C1" s="148"/>
      <c r="D1" s="148"/>
      <c r="E1" s="149"/>
      <c r="F1" s="150"/>
      <c r="G1" s="149"/>
      <c r="H1" s="148"/>
      <c r="I1" s="148"/>
      <c r="J1" s="149"/>
      <c r="K1" s="151"/>
      <c r="L1" s="151"/>
      <c r="M1" s="151"/>
      <c r="N1" s="151"/>
    </row>
    <row r="2" s="260" customFormat="1" spans="1:14">
      <c r="A2" s="152"/>
      <c r="B2" s="154"/>
      <c r="C2" s="154"/>
      <c r="D2" s="154"/>
      <c r="E2" s="155"/>
      <c r="F2" s="156"/>
      <c r="G2" s="155"/>
      <c r="H2" s="154"/>
      <c r="I2" s="154"/>
      <c r="J2" s="155" t="s">
        <v>1225</v>
      </c>
      <c r="K2" s="151"/>
      <c r="L2" s="151"/>
      <c r="M2" s="151"/>
      <c r="N2" s="151"/>
    </row>
    <row r="3" s="81" customFormat="1" ht="21" customHeight="1" spans="1:14">
      <c r="A3" s="205" t="s">
        <v>150</v>
      </c>
      <c r="B3" s="158">
        <v>2024</v>
      </c>
      <c r="C3" s="158" t="s">
        <v>29</v>
      </c>
      <c r="D3" s="159"/>
      <c r="E3" s="160"/>
      <c r="F3" s="161"/>
      <c r="G3" s="162"/>
      <c r="H3" s="163" t="s">
        <v>30</v>
      </c>
      <c r="I3" s="163"/>
      <c r="J3" s="165"/>
      <c r="K3" s="166"/>
      <c r="L3" s="166"/>
      <c r="M3" s="166"/>
      <c r="N3" s="166"/>
    </row>
    <row r="4" s="81" customFormat="1" ht="21" customHeight="1" spans="1:14">
      <c r="A4" s="157"/>
      <c r="B4" s="262" t="s">
        <v>151</v>
      </c>
      <c r="C4" s="262" t="s">
        <v>1226</v>
      </c>
      <c r="D4" s="262" t="s">
        <v>153</v>
      </c>
      <c r="E4" s="263" t="s">
        <v>34</v>
      </c>
      <c r="F4" s="264" t="s">
        <v>155</v>
      </c>
      <c r="G4" s="160"/>
      <c r="H4" s="213" t="s">
        <v>36</v>
      </c>
      <c r="I4" s="206" t="s">
        <v>37</v>
      </c>
      <c r="J4" s="165"/>
      <c r="K4" s="166"/>
      <c r="L4" s="166"/>
      <c r="M4" s="166"/>
      <c r="N4" s="166"/>
    </row>
    <row r="5" s="81" customFormat="1" ht="21" customHeight="1" spans="1:14">
      <c r="A5" s="157"/>
      <c r="B5" s="172"/>
      <c r="C5" s="172"/>
      <c r="D5" s="172"/>
      <c r="E5" s="173"/>
      <c r="F5" s="171" t="s">
        <v>157</v>
      </c>
      <c r="G5" s="165" t="s">
        <v>39</v>
      </c>
      <c r="H5" s="170"/>
      <c r="I5" s="206" t="s">
        <v>157</v>
      </c>
      <c r="J5" s="165" t="s">
        <v>39</v>
      </c>
      <c r="K5" s="166"/>
      <c r="L5" s="166"/>
      <c r="M5" s="166"/>
      <c r="N5" s="166"/>
    </row>
    <row r="6" ht="21" customHeight="1" spans="1:14">
      <c r="A6" s="179" t="s">
        <v>1227</v>
      </c>
      <c r="B6" s="265"/>
      <c r="C6" s="265"/>
      <c r="D6" s="265"/>
      <c r="E6" s="266"/>
      <c r="F6" s="267"/>
      <c r="G6" s="266"/>
      <c r="H6" s="265"/>
      <c r="I6" s="267"/>
      <c r="J6" s="266"/>
      <c r="K6" s="151"/>
      <c r="L6" s="151"/>
      <c r="M6" s="151"/>
      <c r="N6" s="151"/>
    </row>
    <row r="7" ht="21" customHeight="1" spans="1:14">
      <c r="A7" s="179" t="s">
        <v>1228</v>
      </c>
      <c r="B7" s="219">
        <v>20292</v>
      </c>
      <c r="C7" s="219">
        <v>32779</v>
      </c>
      <c r="D7" s="219">
        <v>19913</v>
      </c>
      <c r="E7" s="266">
        <f>D7/C7*100</f>
        <v>60.7492601970774</v>
      </c>
      <c r="F7" s="268">
        <f>D7-B7</f>
        <v>-379</v>
      </c>
      <c r="G7" s="266">
        <f>F7/B7*100</f>
        <v>-1.86773112556673</v>
      </c>
      <c r="H7" s="219">
        <v>31457</v>
      </c>
      <c r="I7" s="268">
        <f>H7-D7</f>
        <v>11544</v>
      </c>
      <c r="J7" s="266">
        <f>I7/D7*100</f>
        <v>57.9721789785567</v>
      </c>
      <c r="K7" s="151"/>
      <c r="L7" s="151"/>
      <c r="M7" s="151"/>
      <c r="N7" s="151"/>
    </row>
    <row r="8" ht="21" customHeight="1" spans="1:14">
      <c r="A8" s="179" t="s">
        <v>1229</v>
      </c>
      <c r="B8" s="219"/>
      <c r="C8" s="219">
        <v>2019</v>
      </c>
      <c r="D8" s="219"/>
      <c r="E8" s="266">
        <f>D8/C8*100</f>
        <v>0</v>
      </c>
      <c r="F8" s="268">
        <f t="shared" ref="F8:F29" si="0">D8-B8</f>
        <v>0</v>
      </c>
      <c r="G8" s="266"/>
      <c r="H8" s="219"/>
      <c r="I8" s="268">
        <f t="shared" ref="I8:I29" si="1">H8-D8</f>
        <v>0</v>
      </c>
      <c r="J8" s="266"/>
      <c r="K8" s="151"/>
      <c r="L8" s="151"/>
      <c r="M8" s="151"/>
      <c r="N8" s="151"/>
    </row>
    <row r="9" ht="21" customHeight="1" spans="1:14">
      <c r="A9" s="179" t="s">
        <v>1230</v>
      </c>
      <c r="B9" s="219"/>
      <c r="C9" s="219">
        <v>447</v>
      </c>
      <c r="D9" s="219"/>
      <c r="E9" s="266">
        <f>D9/C9*100</f>
        <v>0</v>
      </c>
      <c r="F9" s="268">
        <f t="shared" si="0"/>
        <v>0</v>
      </c>
      <c r="G9" s="266"/>
      <c r="H9" s="219"/>
      <c r="I9" s="268">
        <f t="shared" si="1"/>
        <v>0</v>
      </c>
      <c r="J9" s="266"/>
      <c r="K9" s="151"/>
      <c r="L9" s="151"/>
      <c r="M9" s="151"/>
      <c r="N9" s="151"/>
    </row>
    <row r="10" ht="21" customHeight="1" spans="1:14">
      <c r="A10" s="179" t="s">
        <v>1231</v>
      </c>
      <c r="B10" s="219"/>
      <c r="C10" s="219"/>
      <c r="D10" s="219"/>
      <c r="E10" s="266"/>
      <c r="F10" s="268">
        <f t="shared" si="0"/>
        <v>0</v>
      </c>
      <c r="G10" s="266"/>
      <c r="H10" s="219"/>
      <c r="I10" s="268">
        <f t="shared" si="1"/>
        <v>0</v>
      </c>
      <c r="J10" s="266"/>
      <c r="K10" s="151"/>
      <c r="L10" s="151"/>
      <c r="M10" s="151"/>
      <c r="N10" s="151"/>
    </row>
    <row r="11" ht="21" customHeight="1" spans="1:14">
      <c r="A11" s="179" t="s">
        <v>1232</v>
      </c>
      <c r="B11" s="219">
        <v>102</v>
      </c>
      <c r="C11" s="219">
        <v>70</v>
      </c>
      <c r="D11" s="219">
        <v>64</v>
      </c>
      <c r="E11" s="266">
        <f>D11/C11*100</f>
        <v>91.4285714285714</v>
      </c>
      <c r="F11" s="268">
        <f t="shared" si="0"/>
        <v>-38</v>
      </c>
      <c r="G11" s="266">
        <f>F11/B11*100</f>
        <v>-37.2549019607843</v>
      </c>
      <c r="H11" s="219">
        <v>60</v>
      </c>
      <c r="I11" s="268">
        <f t="shared" si="1"/>
        <v>-4</v>
      </c>
      <c r="J11" s="266">
        <f>I11/D11*100</f>
        <v>-6.25</v>
      </c>
      <c r="K11" s="151"/>
      <c r="L11" s="151"/>
      <c r="M11" s="151"/>
      <c r="N11" s="151"/>
    </row>
    <row r="12" ht="21" customHeight="1" spans="1:14">
      <c r="A12" s="179" t="s">
        <v>1233</v>
      </c>
      <c r="B12" s="219"/>
      <c r="C12" s="219"/>
      <c r="D12" s="219"/>
      <c r="E12" s="266"/>
      <c r="F12" s="268">
        <f t="shared" si="0"/>
        <v>0</v>
      </c>
      <c r="G12" s="266"/>
      <c r="H12" s="219"/>
      <c r="I12" s="268">
        <f t="shared" si="1"/>
        <v>0</v>
      </c>
      <c r="J12" s="266"/>
      <c r="K12" s="151"/>
      <c r="L12" s="151"/>
      <c r="M12" s="151"/>
      <c r="N12" s="151"/>
    </row>
    <row r="13" ht="21" customHeight="1" spans="1:14">
      <c r="A13" s="179" t="s">
        <v>1234</v>
      </c>
      <c r="B13" s="219"/>
      <c r="C13" s="219"/>
      <c r="D13" s="219"/>
      <c r="E13" s="266"/>
      <c r="F13" s="268">
        <f t="shared" si="0"/>
        <v>0</v>
      </c>
      <c r="G13" s="266"/>
      <c r="H13" s="219"/>
      <c r="I13" s="268">
        <f t="shared" si="1"/>
        <v>0</v>
      </c>
      <c r="J13" s="266"/>
      <c r="K13" s="151"/>
      <c r="L13" s="151"/>
      <c r="M13" s="151"/>
      <c r="N13" s="151"/>
    </row>
    <row r="14" ht="21" customHeight="1" spans="1:14">
      <c r="A14" s="179" t="s">
        <v>1235</v>
      </c>
      <c r="B14" s="219"/>
      <c r="C14" s="219"/>
      <c r="D14" s="219"/>
      <c r="E14" s="266"/>
      <c r="F14" s="268">
        <f t="shared" si="0"/>
        <v>0</v>
      </c>
      <c r="G14" s="266"/>
      <c r="H14" s="219"/>
      <c r="I14" s="268">
        <f t="shared" si="1"/>
        <v>0</v>
      </c>
      <c r="J14" s="266"/>
      <c r="K14" s="151"/>
      <c r="L14" s="151"/>
      <c r="M14" s="151"/>
      <c r="N14" s="151"/>
    </row>
    <row r="15" ht="21" customHeight="1" spans="1:14">
      <c r="A15" s="179" t="s">
        <v>1236</v>
      </c>
      <c r="B15" s="219"/>
      <c r="C15" s="219"/>
      <c r="D15" s="219"/>
      <c r="E15" s="266"/>
      <c r="F15" s="268">
        <f t="shared" si="0"/>
        <v>0</v>
      </c>
      <c r="G15" s="266"/>
      <c r="H15" s="219"/>
      <c r="I15" s="268">
        <f t="shared" si="1"/>
        <v>0</v>
      </c>
      <c r="J15" s="266"/>
      <c r="K15" s="151"/>
      <c r="L15" s="151"/>
      <c r="M15" s="151"/>
      <c r="N15" s="151"/>
    </row>
    <row r="16" ht="21" customHeight="1" spans="1:14">
      <c r="A16" s="179" t="s">
        <v>1237</v>
      </c>
      <c r="B16" s="219"/>
      <c r="C16" s="219"/>
      <c r="D16" s="219"/>
      <c r="E16" s="266"/>
      <c r="F16" s="268">
        <f t="shared" si="0"/>
        <v>0</v>
      </c>
      <c r="G16" s="266"/>
      <c r="H16" s="219"/>
      <c r="I16" s="268">
        <f t="shared" si="1"/>
        <v>0</v>
      </c>
      <c r="J16" s="266"/>
      <c r="K16" s="151"/>
      <c r="L16" s="151"/>
      <c r="M16" s="151"/>
      <c r="N16" s="151"/>
    </row>
    <row r="17" ht="21" customHeight="1" spans="1:14">
      <c r="A17" s="179" t="s">
        <v>1238</v>
      </c>
      <c r="B17" s="219"/>
      <c r="C17" s="219"/>
      <c r="D17" s="219"/>
      <c r="E17" s="266"/>
      <c r="F17" s="268">
        <f t="shared" si="0"/>
        <v>0</v>
      </c>
      <c r="G17" s="266"/>
      <c r="H17" s="219"/>
      <c r="I17" s="268">
        <f t="shared" si="1"/>
        <v>0</v>
      </c>
      <c r="J17" s="266"/>
      <c r="K17" s="151"/>
      <c r="L17" s="151"/>
      <c r="M17" s="151"/>
      <c r="N17" s="151"/>
    </row>
    <row r="18" ht="21" customHeight="1" spans="1:14">
      <c r="A18" s="179" t="s">
        <v>1239</v>
      </c>
      <c r="B18" s="219"/>
      <c r="C18" s="219"/>
      <c r="D18" s="219"/>
      <c r="E18" s="266"/>
      <c r="F18" s="268">
        <f t="shared" si="0"/>
        <v>0</v>
      </c>
      <c r="G18" s="266"/>
      <c r="H18" s="219"/>
      <c r="I18" s="268">
        <f t="shared" si="1"/>
        <v>0</v>
      </c>
      <c r="J18" s="266"/>
      <c r="K18" s="151"/>
      <c r="L18" s="151"/>
      <c r="M18" s="151"/>
      <c r="N18" s="151"/>
    </row>
    <row r="19" ht="21" customHeight="1" spans="1:14">
      <c r="A19" s="179" t="s">
        <v>1240</v>
      </c>
      <c r="B19" s="219">
        <v>1335</v>
      </c>
      <c r="C19" s="219">
        <v>1218</v>
      </c>
      <c r="D19" s="219">
        <v>1188</v>
      </c>
      <c r="E19" s="266">
        <f>D19/C19*100</f>
        <v>97.5369458128079</v>
      </c>
      <c r="F19" s="268">
        <f t="shared" si="0"/>
        <v>-147</v>
      </c>
      <c r="G19" s="266">
        <f>F19/B19*100</f>
        <v>-11.0112359550562</v>
      </c>
      <c r="H19" s="219">
        <v>1196</v>
      </c>
      <c r="I19" s="268">
        <f t="shared" si="1"/>
        <v>8</v>
      </c>
      <c r="J19" s="266">
        <f>I19/D19*100</f>
        <v>0.673400673400673</v>
      </c>
      <c r="K19" s="151"/>
      <c r="L19" s="151"/>
      <c r="M19" s="151"/>
      <c r="N19" s="151"/>
    </row>
    <row r="20" ht="21" customHeight="1" spans="1:14">
      <c r="A20" s="179" t="s">
        <v>1241</v>
      </c>
      <c r="B20" s="268"/>
      <c r="C20" s="219"/>
      <c r="D20" s="268"/>
      <c r="E20" s="266"/>
      <c r="F20" s="268">
        <f t="shared" si="0"/>
        <v>0</v>
      </c>
      <c r="G20" s="266"/>
      <c r="H20" s="219"/>
      <c r="I20" s="268">
        <f t="shared" si="1"/>
        <v>0</v>
      </c>
      <c r="J20" s="266"/>
      <c r="K20" s="151"/>
      <c r="L20" s="151"/>
      <c r="M20" s="151"/>
      <c r="N20" s="151"/>
    </row>
    <row r="21" ht="21" customHeight="1" spans="1:14">
      <c r="A21" s="179" t="s">
        <v>1242</v>
      </c>
      <c r="B21" s="268">
        <v>1069</v>
      </c>
      <c r="C21" s="219"/>
      <c r="D21" s="268">
        <v>2377</v>
      </c>
      <c r="E21" s="266"/>
      <c r="F21" s="268">
        <f t="shared" si="0"/>
        <v>1308</v>
      </c>
      <c r="G21" s="266">
        <f>F21/B21*100</f>
        <v>122.357343311506</v>
      </c>
      <c r="H21" s="219"/>
      <c r="I21" s="268">
        <f t="shared" si="1"/>
        <v>-2377</v>
      </c>
      <c r="J21" s="266">
        <f>I21/D21*100</f>
        <v>-100</v>
      </c>
      <c r="K21" s="151"/>
      <c r="L21" s="151"/>
      <c r="M21" s="151"/>
      <c r="N21" s="151"/>
    </row>
    <row r="22" s="3" customFormat="1" ht="21" customHeight="1" spans="1:14">
      <c r="A22" s="269" t="s">
        <v>1243</v>
      </c>
      <c r="B22" s="270">
        <f>SUM(B6:B21)</f>
        <v>22798</v>
      </c>
      <c r="C22" s="270">
        <f>SUM(C6:C21)</f>
        <v>36533</v>
      </c>
      <c r="D22" s="270">
        <f>SUM(D6:D21)</f>
        <v>23542</v>
      </c>
      <c r="E22" s="271">
        <f>D22/C22*100</f>
        <v>64.4403689814688</v>
      </c>
      <c r="F22" s="272">
        <f t="shared" si="0"/>
        <v>744</v>
      </c>
      <c r="G22" s="271">
        <f>F22/B22*100</f>
        <v>3.26344416176858</v>
      </c>
      <c r="H22" s="270">
        <f>SUM(H6:H21)</f>
        <v>32713</v>
      </c>
      <c r="I22" s="272">
        <f t="shared" si="1"/>
        <v>9171</v>
      </c>
      <c r="J22" s="271">
        <f>I22/D22*100</f>
        <v>38.9559085889049</v>
      </c>
      <c r="K22" s="178"/>
      <c r="L22" s="178"/>
      <c r="M22" s="178"/>
      <c r="N22" s="178"/>
    </row>
    <row r="23" s="3" customFormat="1" ht="21" customHeight="1" spans="1:14">
      <c r="A23" s="174" t="s">
        <v>78</v>
      </c>
      <c r="B23" s="272">
        <f>SUM(B24:B28)</f>
        <v>141863</v>
      </c>
      <c r="C23" s="272">
        <f>SUM(C24:C28)</f>
        <v>54943</v>
      </c>
      <c r="D23" s="272">
        <f>SUM(D24:D28)</f>
        <v>269472</v>
      </c>
      <c r="E23" s="271">
        <f>D23/C23*100</f>
        <v>490.457383106128</v>
      </c>
      <c r="F23" s="272">
        <f t="shared" si="0"/>
        <v>127609</v>
      </c>
      <c r="G23" s="271">
        <f>F23/B23*100</f>
        <v>89.9522779019195</v>
      </c>
      <c r="H23" s="272">
        <f>SUM(H24:H28)</f>
        <v>48124</v>
      </c>
      <c r="I23" s="272">
        <f t="shared" si="1"/>
        <v>-221348</v>
      </c>
      <c r="J23" s="271">
        <f>I23/D23*100</f>
        <v>-82.1413727585797</v>
      </c>
      <c r="K23" s="178"/>
      <c r="L23" s="178"/>
      <c r="M23" s="178"/>
      <c r="N23" s="178"/>
    </row>
    <row r="24" ht="21" customHeight="1" spans="1:14">
      <c r="A24" s="179" t="s">
        <v>79</v>
      </c>
      <c r="B24" s="268">
        <v>2983</v>
      </c>
      <c r="C24" s="268"/>
      <c r="D24" s="268">
        <v>8458</v>
      </c>
      <c r="E24" s="266"/>
      <c r="F24" s="268">
        <f t="shared" si="0"/>
        <v>5475</v>
      </c>
      <c r="G24" s="266">
        <f>F24/B24*100</f>
        <v>183.540060341938</v>
      </c>
      <c r="H24" s="268"/>
      <c r="I24" s="268">
        <f t="shared" si="1"/>
        <v>-8458</v>
      </c>
      <c r="J24" s="266">
        <f>I24/D24*100</f>
        <v>-100</v>
      </c>
      <c r="K24" s="151"/>
      <c r="L24" s="151"/>
      <c r="M24" s="151"/>
      <c r="N24" s="151"/>
    </row>
    <row r="25" ht="21" customHeight="1" spans="1:14">
      <c r="A25" s="179" t="s">
        <v>1244</v>
      </c>
      <c r="B25" s="268"/>
      <c r="C25" s="268"/>
      <c r="D25" s="268"/>
      <c r="E25" s="266"/>
      <c r="F25" s="268">
        <f t="shared" si="0"/>
        <v>0</v>
      </c>
      <c r="G25" s="266"/>
      <c r="H25" s="268"/>
      <c r="I25" s="268">
        <f t="shared" si="1"/>
        <v>0</v>
      </c>
      <c r="J25" s="266"/>
      <c r="K25" s="151"/>
      <c r="L25" s="151"/>
      <c r="M25" s="151"/>
      <c r="N25" s="151"/>
    </row>
    <row r="26" ht="21" customHeight="1" spans="1:14">
      <c r="A26" s="179" t="s">
        <v>140</v>
      </c>
      <c r="B26" s="268">
        <v>48516</v>
      </c>
      <c r="C26" s="268">
        <v>54943</v>
      </c>
      <c r="D26" s="268">
        <v>39074</v>
      </c>
      <c r="E26" s="266">
        <f>D26/C26*100</f>
        <v>71.1173397885081</v>
      </c>
      <c r="F26" s="268">
        <f t="shared" si="0"/>
        <v>-9442</v>
      </c>
      <c r="G26" s="266">
        <f>F26/B26*100</f>
        <v>-19.4616209085662</v>
      </c>
      <c r="H26" s="268">
        <v>48124</v>
      </c>
      <c r="I26" s="268">
        <f t="shared" si="1"/>
        <v>9050</v>
      </c>
      <c r="J26" s="266">
        <f>I26/D26*100</f>
        <v>23.1611813482111</v>
      </c>
      <c r="K26" s="151"/>
      <c r="L26" s="151"/>
      <c r="M26" s="151"/>
      <c r="N26" s="151"/>
    </row>
    <row r="27" ht="21" customHeight="1" spans="1:14">
      <c r="A27" s="179" t="s">
        <v>146</v>
      </c>
      <c r="B27" s="268">
        <v>90364</v>
      </c>
      <c r="C27" s="268"/>
      <c r="D27" s="268">
        <v>221940</v>
      </c>
      <c r="E27" s="266"/>
      <c r="F27" s="268">
        <f t="shared" si="0"/>
        <v>131576</v>
      </c>
      <c r="G27" s="266">
        <f>F27/B27*100</f>
        <v>145.606657518481</v>
      </c>
      <c r="H27" s="268"/>
      <c r="I27" s="268">
        <f t="shared" si="1"/>
        <v>-221940</v>
      </c>
      <c r="J27" s="266">
        <f>I27/D27*100</f>
        <v>-100</v>
      </c>
      <c r="K27" s="151"/>
      <c r="L27" s="151"/>
      <c r="M27" s="151"/>
      <c r="N27" s="151"/>
    </row>
    <row r="28" ht="21" customHeight="1" spans="1:14">
      <c r="A28" s="179" t="s">
        <v>141</v>
      </c>
      <c r="B28" s="268"/>
      <c r="C28" s="268"/>
      <c r="D28" s="268"/>
      <c r="E28" s="266"/>
      <c r="F28" s="268">
        <f t="shared" si="0"/>
        <v>0</v>
      </c>
      <c r="G28" s="266"/>
      <c r="H28" s="268"/>
      <c r="I28" s="268">
        <f t="shared" si="1"/>
        <v>0</v>
      </c>
      <c r="J28" s="266"/>
      <c r="K28" s="151"/>
      <c r="L28" s="151"/>
      <c r="M28" s="151"/>
      <c r="N28" s="151"/>
    </row>
    <row r="29" s="3" customFormat="1" ht="21" customHeight="1" spans="1:14">
      <c r="A29" s="269" t="s">
        <v>147</v>
      </c>
      <c r="B29" s="273">
        <f>B22+B23</f>
        <v>164661</v>
      </c>
      <c r="C29" s="273">
        <f>C22+C23</f>
        <v>91476</v>
      </c>
      <c r="D29" s="273">
        <f>D22+D23</f>
        <v>293014</v>
      </c>
      <c r="E29" s="271">
        <f>D29/C29*100</f>
        <v>320.317897590625</v>
      </c>
      <c r="F29" s="272">
        <f t="shared" si="0"/>
        <v>128353</v>
      </c>
      <c r="G29" s="271">
        <f>F29/B29*100</f>
        <v>77.949848476567</v>
      </c>
      <c r="H29" s="273">
        <f>H22+H23</f>
        <v>80837</v>
      </c>
      <c r="I29" s="272">
        <f t="shared" si="1"/>
        <v>-212177</v>
      </c>
      <c r="J29" s="271">
        <f>I29/D29*100</f>
        <v>-72.4118984075846</v>
      </c>
      <c r="K29" s="178"/>
      <c r="L29" s="178"/>
      <c r="M29" s="178"/>
      <c r="N29" s="178" t="s">
        <v>1245</v>
      </c>
    </row>
  </sheetData>
  <autoFilter xmlns:etc="http://www.wps.cn/officeDocument/2017/etCustomData" ref="A5:N29" etc:filterBottomFollowUsedRange="0">
    <extLst/>
  </autoFilter>
  <mergeCells count="11">
    <mergeCell ref="A1:J1"/>
    <mergeCell ref="C3:G3"/>
    <mergeCell ref="H3:J3"/>
    <mergeCell ref="F4:G4"/>
    <mergeCell ref="I4:J4"/>
    <mergeCell ref="A3:A5"/>
    <mergeCell ref="B4:B5"/>
    <mergeCell ref="C4:C5"/>
    <mergeCell ref="D4:D5"/>
    <mergeCell ref="E4:E5"/>
    <mergeCell ref="H4:H5"/>
  </mergeCell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A 6 7 "   r g b C l r = " 2 C C A 6 8 " / > < c o m m e n t   s : r e f = " A 6 0 3 "   r g b C l r = " 2 C C A 6 8 " / > < c o m m e n t   s : r e f = " A 6 0 4 "   r g b C l r = " 2 C C A 6 8 " / > < c o m m e n t   s : r e f = " A 6 0 5 "   r g b C l r = " 2 C C A 6 8 " / > < c o m m e n t   s : r e f = " A 6 0 6 "   r g b C l r = " 2 C C A 6 8 " / > < c o m m e n t   s : r e f = " A 6 0 7 "   r g b C l r = " 2 C C A 6 8 " / > < c o m m e n t   s : r e f = " A 8 8 1 "   r g b C l r = " 2 C C A 6 8 " / > < c o m m e n t   s : r e f = " A 1 1 6 6 "   r g b C l r = " 2 C C A 6 8 " / > < / c o m m e n t L i s t > < c o m m e n t L i s t   s h e e t S t i d = " 1 0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一般公共预算收入表</vt:lpstr>
      <vt:lpstr>一般公共预算支出表 </vt:lpstr>
      <vt:lpstr>本级一般公共预算支出表 </vt:lpstr>
      <vt:lpstr>本级一般公共预算基本支出表</vt:lpstr>
      <vt:lpstr>一般公共预算转移性收入支出表</vt:lpstr>
      <vt:lpstr>政府一般债务限额和余额情况表</vt:lpstr>
      <vt:lpstr>政府性基金收入表</vt:lpstr>
      <vt:lpstr>政府性基金支出表</vt:lpstr>
      <vt:lpstr>本级政府性基金支出表 </vt:lpstr>
      <vt:lpstr>政府性基金转移支付收入支出表</vt:lpstr>
      <vt:lpstr>政府专项债务限额和余额情况表</vt:lpstr>
      <vt:lpstr>社会保险基金预算表</vt:lpstr>
      <vt:lpstr>社会保险基金收入表</vt:lpstr>
      <vt:lpstr>社会保险基金支出表</vt:lpstr>
      <vt:lpstr>国有资本经营预算收入表</vt:lpstr>
      <vt:lpstr>国有资本经营预算支出表</vt:lpstr>
      <vt:lpstr>本级国有资本经营预算支出表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QTOS</dc:creator>
  <cp:lastModifiedBy>kk</cp:lastModifiedBy>
  <dcterms:created xsi:type="dcterms:W3CDTF">2016-02-29T09:24:00Z</dcterms:created>
  <dcterms:modified xsi:type="dcterms:W3CDTF">2026-04-14T07:29:36Z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KSOReadingLayout">
    <vt:bool>true</vt:bool>
  </property>
  <property fmtid="{D5CDD505-2E9C-101B-9397-08002B2CF9AE}" pid="5" name="ICV">
    <vt:lpwstr>B9B7D28669824C32A920AE8FB13A8860</vt:lpwstr>
  </property>
  <property fmtid="{D5CDD505-2E9C-101B-9397-08002B2CF9AE}" pid="6" name="CalculationRule">
    <vt:i4>0</vt:i4>
  </property>
</Properties>
</file>